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910" windowHeight="6570" tabRatio="601" activeTab="2"/>
  </bookViews>
  <sheets>
    <sheet name="readme" sheetId="1" r:id="rId1"/>
    <sheet name="NW1(4-15)" sheetId="2" r:id="rId2"/>
    <sheet name="NW4（4-15）" sheetId="3" r:id="rId3"/>
    <sheet name="C3(4-15)" sheetId="4" r:id="rId4"/>
    <sheet name="C4(4-15)" sheetId="5" r:id="rId5"/>
    <sheet name="NW1(4-24)" sheetId="6" r:id="rId6"/>
    <sheet name="NW4(4-24)" sheetId="7" r:id="rId7"/>
    <sheet name="C3(4-24)" sheetId="8" r:id="rId8"/>
    <sheet name="C4(4-24)" sheetId="9" r:id="rId9"/>
    <sheet name="NW1(5-3)" sheetId="10" r:id="rId10"/>
    <sheet name="NW4(5-3)" sheetId="11" r:id="rId11"/>
    <sheet name="C3(5-3)" sheetId="12" r:id="rId12"/>
    <sheet name="C4(5-3)" sheetId="13" r:id="rId13"/>
  </sheets>
  <definedNames/>
  <calcPr fullCalcOnLoad="1"/>
</workbook>
</file>

<file path=xl/sharedStrings.xml><?xml version="1.0" encoding="utf-8"?>
<sst xmlns="http://schemas.openxmlformats.org/spreadsheetml/2006/main" count="1471" uniqueCount="338">
  <si>
    <t>NW4</t>
  </si>
  <si>
    <t>NW1</t>
  </si>
  <si>
    <t>40°12°306</t>
  </si>
  <si>
    <t>116°42°384</t>
  </si>
  <si>
    <t>40°12°305</t>
  </si>
  <si>
    <t>116°42°401</t>
  </si>
  <si>
    <r>
      <t>116°42</t>
    </r>
    <r>
      <rPr>
        <sz val="9"/>
        <rFont val="宋体"/>
        <family val="0"/>
      </rPr>
      <t>′</t>
    </r>
    <r>
      <rPr>
        <sz val="9"/>
        <rFont val="Times New Roman"/>
        <family val="1"/>
      </rPr>
      <t>385</t>
    </r>
    <r>
      <rPr>
        <sz val="9"/>
        <rFont val="宋体"/>
        <family val="0"/>
      </rPr>
      <t>″</t>
    </r>
  </si>
  <si>
    <r>
      <t>116°42</t>
    </r>
    <r>
      <rPr>
        <sz val="9"/>
        <rFont val="宋体"/>
        <family val="0"/>
      </rPr>
      <t>′</t>
    </r>
    <r>
      <rPr>
        <sz val="9"/>
        <rFont val="Times New Roman"/>
        <family val="1"/>
      </rPr>
      <t>402</t>
    </r>
    <r>
      <rPr>
        <sz val="9"/>
        <rFont val="宋体"/>
        <family val="0"/>
      </rPr>
      <t>″</t>
    </r>
  </si>
  <si>
    <r>
      <t>40°11</t>
    </r>
    <r>
      <rPr>
        <sz val="9"/>
        <rFont val="宋体"/>
        <family val="0"/>
      </rPr>
      <t>′</t>
    </r>
    <r>
      <rPr>
        <sz val="9"/>
        <rFont val="Times New Roman"/>
        <family val="1"/>
      </rPr>
      <t>678</t>
    </r>
    <r>
      <rPr>
        <sz val="9"/>
        <rFont val="宋体"/>
        <family val="0"/>
      </rPr>
      <t>″</t>
    </r>
  </si>
  <si>
    <r>
      <t>116°34</t>
    </r>
    <r>
      <rPr>
        <sz val="9"/>
        <rFont val="宋体"/>
        <family val="0"/>
      </rPr>
      <t>′</t>
    </r>
    <r>
      <rPr>
        <sz val="9"/>
        <rFont val="Times New Roman"/>
        <family val="1"/>
      </rPr>
      <t>078</t>
    </r>
    <r>
      <rPr>
        <sz val="9"/>
        <rFont val="宋体"/>
        <family val="0"/>
      </rPr>
      <t>″</t>
    </r>
  </si>
  <si>
    <r>
      <t>40°11</t>
    </r>
    <r>
      <rPr>
        <sz val="9"/>
        <rFont val="宋体"/>
        <family val="0"/>
      </rPr>
      <t>′</t>
    </r>
    <r>
      <rPr>
        <sz val="9"/>
        <rFont val="Times New Roman"/>
        <family val="1"/>
      </rPr>
      <t>674</t>
    </r>
    <r>
      <rPr>
        <sz val="9"/>
        <rFont val="宋体"/>
        <family val="0"/>
      </rPr>
      <t>″</t>
    </r>
  </si>
  <si>
    <r>
      <t>116°34</t>
    </r>
    <r>
      <rPr>
        <sz val="9"/>
        <rFont val="宋体"/>
        <family val="0"/>
      </rPr>
      <t>′</t>
    </r>
    <r>
      <rPr>
        <sz val="9"/>
        <rFont val="Times New Roman"/>
        <family val="1"/>
      </rPr>
      <t>079</t>
    </r>
    <r>
      <rPr>
        <sz val="9"/>
        <rFont val="宋体"/>
        <family val="0"/>
      </rPr>
      <t>″</t>
    </r>
  </si>
  <si>
    <r>
      <t>N40°12</t>
    </r>
    <r>
      <rPr>
        <sz val="9"/>
        <rFont val="宋体"/>
        <family val="0"/>
      </rPr>
      <t>′</t>
    </r>
    <r>
      <rPr>
        <sz val="9"/>
        <rFont val="Times New Roman"/>
        <family val="1"/>
      </rPr>
      <t>302</t>
    </r>
    <r>
      <rPr>
        <sz val="9"/>
        <rFont val="宋体"/>
        <family val="0"/>
      </rPr>
      <t>″</t>
    </r>
  </si>
  <si>
    <r>
      <t>N40°12</t>
    </r>
    <r>
      <rPr>
        <sz val="9"/>
        <rFont val="宋体"/>
        <family val="0"/>
      </rPr>
      <t>′</t>
    </r>
    <r>
      <rPr>
        <sz val="9"/>
        <rFont val="Times New Roman"/>
        <family val="1"/>
      </rPr>
      <t>303</t>
    </r>
    <r>
      <rPr>
        <sz val="9"/>
        <rFont val="宋体"/>
        <family val="0"/>
      </rPr>
      <t>″</t>
    </r>
  </si>
  <si>
    <r>
      <t>E116°42</t>
    </r>
    <r>
      <rPr>
        <sz val="9"/>
        <rFont val="宋体"/>
        <family val="0"/>
      </rPr>
      <t>′</t>
    </r>
    <r>
      <rPr>
        <sz val="9"/>
        <rFont val="Times New Roman"/>
        <family val="1"/>
      </rPr>
      <t>401</t>
    </r>
    <r>
      <rPr>
        <sz val="9"/>
        <rFont val="宋体"/>
        <family val="0"/>
      </rPr>
      <t>″</t>
    </r>
  </si>
  <si>
    <r>
      <t>N40°12</t>
    </r>
    <r>
      <rPr>
        <sz val="9"/>
        <rFont val="宋体"/>
        <family val="0"/>
      </rPr>
      <t>′</t>
    </r>
    <r>
      <rPr>
        <sz val="9"/>
        <rFont val="Times New Roman"/>
        <family val="1"/>
      </rPr>
      <t>308</t>
    </r>
    <r>
      <rPr>
        <sz val="9"/>
        <rFont val="宋体"/>
        <family val="0"/>
      </rPr>
      <t>″</t>
    </r>
  </si>
  <si>
    <r>
      <t>E116°42</t>
    </r>
    <r>
      <rPr>
        <sz val="9"/>
        <rFont val="宋体"/>
        <family val="0"/>
      </rPr>
      <t>′</t>
    </r>
    <r>
      <rPr>
        <sz val="9"/>
        <rFont val="Times New Roman"/>
        <family val="1"/>
      </rPr>
      <t>392</t>
    </r>
    <r>
      <rPr>
        <sz val="9"/>
        <rFont val="宋体"/>
        <family val="0"/>
      </rPr>
      <t>″</t>
    </r>
  </si>
  <si>
    <r>
      <t>N40°12</t>
    </r>
    <r>
      <rPr>
        <sz val="9"/>
        <rFont val="宋体"/>
        <family val="0"/>
      </rPr>
      <t>′</t>
    </r>
    <r>
      <rPr>
        <sz val="9"/>
        <rFont val="Times New Roman"/>
        <family val="1"/>
      </rPr>
      <t>304</t>
    </r>
    <r>
      <rPr>
        <sz val="9"/>
        <rFont val="宋体"/>
        <family val="0"/>
      </rPr>
      <t>″</t>
    </r>
  </si>
  <si>
    <r>
      <t>E116°42</t>
    </r>
    <r>
      <rPr>
        <sz val="9"/>
        <rFont val="宋体"/>
        <family val="0"/>
      </rPr>
      <t>′</t>
    </r>
    <r>
      <rPr>
        <sz val="9"/>
        <rFont val="Times New Roman"/>
        <family val="1"/>
      </rPr>
      <t>393</t>
    </r>
    <r>
      <rPr>
        <sz val="9"/>
        <rFont val="宋体"/>
        <family val="0"/>
      </rPr>
      <t>″</t>
    </r>
  </si>
  <si>
    <r>
      <t>N40°12</t>
    </r>
    <r>
      <rPr>
        <sz val="9"/>
        <rFont val="宋体"/>
        <family val="0"/>
      </rPr>
      <t>′</t>
    </r>
    <r>
      <rPr>
        <sz val="9"/>
        <rFont val="Times New Roman"/>
        <family val="1"/>
      </rPr>
      <t>178</t>
    </r>
    <r>
      <rPr>
        <sz val="9"/>
        <rFont val="宋体"/>
        <family val="0"/>
      </rPr>
      <t>″</t>
    </r>
  </si>
  <si>
    <r>
      <t>E116°42</t>
    </r>
    <r>
      <rPr>
        <sz val="9"/>
        <rFont val="宋体"/>
        <family val="0"/>
      </rPr>
      <t>′</t>
    </r>
    <r>
      <rPr>
        <sz val="9"/>
        <rFont val="Times New Roman"/>
        <family val="1"/>
      </rPr>
      <t>203</t>
    </r>
    <r>
      <rPr>
        <sz val="9"/>
        <rFont val="宋体"/>
        <family val="0"/>
      </rPr>
      <t>″</t>
    </r>
  </si>
  <si>
    <r>
      <t>N40°12</t>
    </r>
    <r>
      <rPr>
        <sz val="9"/>
        <rFont val="宋体"/>
        <family val="0"/>
      </rPr>
      <t>′</t>
    </r>
    <r>
      <rPr>
        <sz val="9"/>
        <rFont val="Times New Roman"/>
        <family val="1"/>
      </rPr>
      <t>180</t>
    </r>
    <r>
      <rPr>
        <sz val="9"/>
        <rFont val="宋体"/>
        <family val="0"/>
      </rPr>
      <t>″</t>
    </r>
  </si>
  <si>
    <r>
      <t>E116°42</t>
    </r>
    <r>
      <rPr>
        <sz val="9"/>
        <rFont val="宋体"/>
        <family val="0"/>
      </rPr>
      <t>′</t>
    </r>
    <r>
      <rPr>
        <sz val="9"/>
        <rFont val="Times New Roman"/>
        <family val="1"/>
      </rPr>
      <t>205</t>
    </r>
    <r>
      <rPr>
        <sz val="9"/>
        <rFont val="宋体"/>
        <family val="0"/>
      </rPr>
      <t>″</t>
    </r>
  </si>
  <si>
    <r>
      <t>N40°12</t>
    </r>
    <r>
      <rPr>
        <sz val="9"/>
        <rFont val="宋体"/>
        <family val="0"/>
      </rPr>
      <t>′</t>
    </r>
    <r>
      <rPr>
        <sz val="9"/>
        <rFont val="Times New Roman"/>
        <family val="1"/>
      </rPr>
      <t>18</t>
    </r>
    <r>
      <rPr>
        <sz val="9"/>
        <rFont val="宋体"/>
        <family val="0"/>
      </rPr>
      <t>″</t>
    </r>
  </si>
  <si>
    <r>
      <t>E116°42</t>
    </r>
    <r>
      <rPr>
        <sz val="9"/>
        <rFont val="宋体"/>
        <family val="0"/>
      </rPr>
      <t>′</t>
    </r>
    <r>
      <rPr>
        <sz val="9"/>
        <rFont val="Times New Roman"/>
        <family val="1"/>
      </rPr>
      <t>265</t>
    </r>
    <r>
      <rPr>
        <sz val="9"/>
        <rFont val="宋体"/>
        <family val="0"/>
      </rPr>
      <t>″</t>
    </r>
  </si>
  <si>
    <r>
      <t>E116°34</t>
    </r>
    <r>
      <rPr>
        <sz val="9"/>
        <rFont val="宋体"/>
        <family val="0"/>
      </rPr>
      <t>′</t>
    </r>
    <r>
      <rPr>
        <sz val="9"/>
        <rFont val="Times New Roman"/>
        <family val="1"/>
      </rPr>
      <t>757</t>
    </r>
    <r>
      <rPr>
        <sz val="9"/>
        <rFont val="宋体"/>
        <family val="0"/>
      </rPr>
      <t>″</t>
    </r>
  </si>
  <si>
    <r>
      <t>E116°34</t>
    </r>
    <r>
      <rPr>
        <sz val="9"/>
        <rFont val="宋体"/>
        <family val="0"/>
      </rPr>
      <t>′</t>
    </r>
    <r>
      <rPr>
        <sz val="9"/>
        <rFont val="Times New Roman"/>
        <family val="1"/>
      </rPr>
      <t>813</t>
    </r>
    <r>
      <rPr>
        <sz val="9"/>
        <rFont val="宋体"/>
        <family val="0"/>
      </rPr>
      <t>″</t>
    </r>
  </si>
  <si>
    <r>
      <t>N40°11</t>
    </r>
    <r>
      <rPr>
        <sz val="9"/>
        <rFont val="宋体"/>
        <family val="0"/>
      </rPr>
      <t>′</t>
    </r>
    <r>
      <rPr>
        <sz val="9"/>
        <rFont val="Times New Roman"/>
        <family val="1"/>
      </rPr>
      <t>708</t>
    </r>
    <r>
      <rPr>
        <sz val="9"/>
        <rFont val="宋体"/>
        <family val="0"/>
      </rPr>
      <t>″</t>
    </r>
  </si>
  <si>
    <r>
      <t>N40°11</t>
    </r>
    <r>
      <rPr>
        <sz val="9"/>
        <rFont val="宋体"/>
        <family val="0"/>
      </rPr>
      <t>′</t>
    </r>
    <r>
      <rPr>
        <sz val="9"/>
        <rFont val="Times New Roman"/>
        <family val="1"/>
      </rPr>
      <t>714</t>
    </r>
    <r>
      <rPr>
        <sz val="9"/>
        <rFont val="宋体"/>
        <family val="0"/>
      </rPr>
      <t>″</t>
    </r>
  </si>
  <si>
    <r>
      <t>E116°34</t>
    </r>
    <r>
      <rPr>
        <sz val="9"/>
        <rFont val="宋体"/>
        <family val="0"/>
      </rPr>
      <t>′</t>
    </r>
    <r>
      <rPr>
        <sz val="9"/>
        <rFont val="Times New Roman"/>
        <family val="1"/>
      </rPr>
      <t>810</t>
    </r>
    <r>
      <rPr>
        <sz val="9"/>
        <rFont val="宋体"/>
        <family val="0"/>
      </rPr>
      <t>″</t>
    </r>
  </si>
  <si>
    <r>
      <t>E116°34</t>
    </r>
    <r>
      <rPr>
        <sz val="9"/>
        <rFont val="宋体"/>
        <family val="0"/>
      </rPr>
      <t>′</t>
    </r>
    <r>
      <rPr>
        <sz val="9"/>
        <rFont val="Times New Roman"/>
        <family val="1"/>
      </rPr>
      <t>681</t>
    </r>
    <r>
      <rPr>
        <sz val="9"/>
        <rFont val="宋体"/>
        <family val="0"/>
      </rPr>
      <t>″</t>
    </r>
  </si>
  <si>
    <r>
      <t>N40°11</t>
    </r>
    <r>
      <rPr>
        <sz val="9"/>
        <rFont val="宋体"/>
        <family val="0"/>
      </rPr>
      <t>′</t>
    </r>
    <r>
      <rPr>
        <sz val="9"/>
        <rFont val="Times New Roman"/>
        <family val="1"/>
      </rPr>
      <t>700</t>
    </r>
    <r>
      <rPr>
        <sz val="9"/>
        <rFont val="宋体"/>
        <family val="0"/>
      </rPr>
      <t>″</t>
    </r>
  </si>
  <si>
    <r>
      <t>E116°34</t>
    </r>
    <r>
      <rPr>
        <sz val="9"/>
        <rFont val="宋体"/>
        <family val="0"/>
      </rPr>
      <t>′</t>
    </r>
    <r>
      <rPr>
        <sz val="9"/>
        <rFont val="Times New Roman"/>
        <family val="1"/>
      </rPr>
      <t>763</t>
    </r>
    <r>
      <rPr>
        <sz val="9"/>
        <rFont val="宋体"/>
        <family val="0"/>
      </rPr>
      <t>″</t>
    </r>
  </si>
  <si>
    <r>
      <t>N40°11</t>
    </r>
    <r>
      <rPr>
        <sz val="9"/>
        <rFont val="宋体"/>
        <family val="0"/>
      </rPr>
      <t>′</t>
    </r>
    <r>
      <rPr>
        <sz val="9"/>
        <rFont val="Times New Roman"/>
        <family val="1"/>
      </rPr>
      <t>707</t>
    </r>
    <r>
      <rPr>
        <sz val="9"/>
        <rFont val="宋体"/>
        <family val="0"/>
      </rPr>
      <t>″</t>
    </r>
  </si>
  <si>
    <r>
      <t>E116°34</t>
    </r>
    <r>
      <rPr>
        <sz val="9"/>
        <rFont val="宋体"/>
        <family val="0"/>
      </rPr>
      <t>′</t>
    </r>
    <r>
      <rPr>
        <sz val="9"/>
        <rFont val="Times New Roman"/>
        <family val="1"/>
      </rPr>
      <t>673</t>
    </r>
    <r>
      <rPr>
        <sz val="9"/>
        <rFont val="宋体"/>
        <family val="0"/>
      </rPr>
      <t>″</t>
    </r>
  </si>
  <si>
    <r>
      <t>N40°11</t>
    </r>
    <r>
      <rPr>
        <sz val="9"/>
        <rFont val="宋体"/>
        <family val="0"/>
      </rPr>
      <t>′</t>
    </r>
    <r>
      <rPr>
        <sz val="9"/>
        <rFont val="Times New Roman"/>
        <family val="1"/>
      </rPr>
      <t>711</t>
    </r>
    <r>
      <rPr>
        <sz val="9"/>
        <rFont val="宋体"/>
        <family val="0"/>
      </rPr>
      <t>″</t>
    </r>
  </si>
  <si>
    <r>
      <t>E116°34</t>
    </r>
    <r>
      <rPr>
        <sz val="9"/>
        <rFont val="宋体"/>
        <family val="0"/>
      </rPr>
      <t>′</t>
    </r>
    <r>
      <rPr>
        <sz val="9"/>
        <rFont val="Times New Roman"/>
        <family val="1"/>
      </rPr>
      <t>808</t>
    </r>
    <r>
      <rPr>
        <sz val="9"/>
        <rFont val="宋体"/>
        <family val="0"/>
      </rPr>
      <t>″</t>
    </r>
  </si>
  <si>
    <r>
      <t>C4-</t>
    </r>
    <r>
      <rPr>
        <sz val="9"/>
        <rFont val="宋体"/>
        <family val="0"/>
      </rPr>
      <t>东</t>
    </r>
  </si>
  <si>
    <r>
      <t>NW1-</t>
    </r>
    <r>
      <rPr>
        <sz val="9"/>
        <rFont val="宋体"/>
        <family val="0"/>
      </rPr>
      <t>西</t>
    </r>
  </si>
  <si>
    <r>
      <t>40°11</t>
    </r>
    <r>
      <rPr>
        <sz val="9"/>
        <rFont val="宋体"/>
        <family val="0"/>
      </rPr>
      <t>′</t>
    </r>
    <r>
      <rPr>
        <sz val="9"/>
        <rFont val="Times New Roman"/>
        <family val="1"/>
      </rPr>
      <t>185</t>
    </r>
    <r>
      <rPr>
        <sz val="9"/>
        <rFont val="宋体"/>
        <family val="0"/>
      </rPr>
      <t>″</t>
    </r>
  </si>
  <si>
    <r>
      <t>116°41</t>
    </r>
    <r>
      <rPr>
        <sz val="9"/>
        <rFont val="宋体"/>
        <family val="0"/>
      </rPr>
      <t>′</t>
    </r>
    <r>
      <rPr>
        <sz val="9"/>
        <rFont val="Times New Roman"/>
        <family val="1"/>
      </rPr>
      <t>704</t>
    </r>
    <r>
      <rPr>
        <sz val="9"/>
        <rFont val="宋体"/>
        <family val="0"/>
      </rPr>
      <t>″</t>
    </r>
  </si>
  <si>
    <t>VARIETY</t>
  </si>
  <si>
    <t>DATE</t>
  </si>
  <si>
    <t>NJ</t>
  </si>
  <si>
    <t>NL</t>
  </si>
  <si>
    <t>HG</t>
  </si>
  <si>
    <t>THETA</t>
  </si>
  <si>
    <t>0-5</t>
  </si>
  <si>
    <t>15-20</t>
  </si>
  <si>
    <t>20-25</t>
  </si>
  <si>
    <t>25-30</t>
  </si>
  <si>
    <t>30-35</t>
  </si>
  <si>
    <t>35-40</t>
  </si>
  <si>
    <t>40-45</t>
  </si>
  <si>
    <t>45-50</t>
  </si>
  <si>
    <t>50-55</t>
  </si>
  <si>
    <t>55-60</t>
  </si>
  <si>
    <t>60-65</t>
  </si>
  <si>
    <t>65-70</t>
  </si>
  <si>
    <t>70-75</t>
  </si>
  <si>
    <t>75-80</t>
  </si>
  <si>
    <t>80-85</t>
  </si>
  <si>
    <t>85-90</t>
  </si>
  <si>
    <t>TOTAL</t>
  </si>
  <si>
    <t>SSi</t>
  </si>
  <si>
    <t>TLSSi</t>
  </si>
  <si>
    <t>ESi</t>
  </si>
  <si>
    <t>TSi</t>
  </si>
  <si>
    <t>LFi</t>
  </si>
  <si>
    <t>LSFi</t>
  </si>
  <si>
    <t>TFi</t>
  </si>
  <si>
    <t>TLFi</t>
  </si>
  <si>
    <t>TLSFi</t>
  </si>
  <si>
    <t>TTFi</t>
  </si>
  <si>
    <t>VARIETY</t>
  </si>
  <si>
    <t>AF(1)</t>
  </si>
  <si>
    <t>AF(2)</t>
  </si>
  <si>
    <t>AF(3)</t>
  </si>
  <si>
    <t>AF(4)</t>
  </si>
  <si>
    <t>AF(5)</t>
  </si>
  <si>
    <t>AF(6)</t>
  </si>
  <si>
    <t>AF(7)</t>
  </si>
  <si>
    <t>AF(8)</t>
  </si>
  <si>
    <t>AF(9)</t>
  </si>
  <si>
    <t>AF(10)</t>
  </si>
  <si>
    <t>totaf</t>
  </si>
  <si>
    <t>totalla</t>
  </si>
  <si>
    <t>各层叶面积和</t>
  </si>
  <si>
    <t>RL</t>
  </si>
  <si>
    <t>DSA</t>
  </si>
  <si>
    <t>RS</t>
  </si>
  <si>
    <t>DEA</t>
  </si>
  <si>
    <t>RE</t>
  </si>
  <si>
    <t>DLSEA</t>
  </si>
  <si>
    <t>matheta</t>
  </si>
  <si>
    <t>maveta</t>
  </si>
  <si>
    <t>mdla</t>
  </si>
  <si>
    <t>lsi</t>
  </si>
  <si>
    <r>
      <t>N40°11</t>
    </r>
    <r>
      <rPr>
        <sz val="9"/>
        <rFont val="宋体"/>
        <family val="0"/>
      </rPr>
      <t>′</t>
    </r>
    <r>
      <rPr>
        <sz val="9"/>
        <rFont val="Times New Roman"/>
        <family val="1"/>
      </rPr>
      <t>675</t>
    </r>
    <r>
      <rPr>
        <sz val="9"/>
        <rFont val="宋体"/>
        <family val="0"/>
      </rPr>
      <t>″</t>
    </r>
  </si>
  <si>
    <r>
      <t>N40°11</t>
    </r>
    <r>
      <rPr>
        <sz val="9"/>
        <rFont val="宋体"/>
        <family val="0"/>
      </rPr>
      <t>′</t>
    </r>
    <r>
      <rPr>
        <sz val="9"/>
        <rFont val="Times New Roman"/>
        <family val="1"/>
      </rPr>
      <t>676</t>
    </r>
    <r>
      <rPr>
        <sz val="9"/>
        <rFont val="宋体"/>
        <family val="0"/>
      </rPr>
      <t>″</t>
    </r>
  </si>
  <si>
    <r>
      <t>N40°11</t>
    </r>
    <r>
      <rPr>
        <sz val="9"/>
        <rFont val="宋体"/>
        <family val="0"/>
      </rPr>
      <t>′</t>
    </r>
    <r>
      <rPr>
        <sz val="9"/>
        <rFont val="Times New Roman"/>
        <family val="1"/>
      </rPr>
      <t>678</t>
    </r>
    <r>
      <rPr>
        <sz val="9"/>
        <rFont val="宋体"/>
        <family val="0"/>
      </rPr>
      <t>″</t>
    </r>
  </si>
  <si>
    <r>
      <t>N40°11</t>
    </r>
    <r>
      <rPr>
        <sz val="9"/>
        <rFont val="宋体"/>
        <family val="0"/>
      </rPr>
      <t>′</t>
    </r>
    <r>
      <rPr>
        <sz val="9"/>
        <rFont val="Times New Roman"/>
        <family val="1"/>
      </rPr>
      <t>674</t>
    </r>
    <r>
      <rPr>
        <sz val="9"/>
        <rFont val="宋体"/>
        <family val="0"/>
      </rPr>
      <t>″</t>
    </r>
  </si>
  <si>
    <r>
      <t>E116°34</t>
    </r>
    <r>
      <rPr>
        <sz val="9"/>
        <rFont val="宋体"/>
        <family val="0"/>
      </rPr>
      <t>′</t>
    </r>
    <r>
      <rPr>
        <sz val="9"/>
        <rFont val="Times New Roman"/>
        <family val="1"/>
      </rPr>
      <t>087</t>
    </r>
    <r>
      <rPr>
        <sz val="9"/>
        <rFont val="宋体"/>
        <family val="0"/>
      </rPr>
      <t>″</t>
    </r>
  </si>
  <si>
    <r>
      <t>N40°11</t>
    </r>
    <r>
      <rPr>
        <sz val="9"/>
        <rFont val="宋体"/>
        <family val="0"/>
      </rPr>
      <t>′</t>
    </r>
    <r>
      <rPr>
        <sz val="9"/>
        <rFont val="Times New Roman"/>
        <family val="1"/>
      </rPr>
      <t>668</t>
    </r>
    <r>
      <rPr>
        <sz val="9"/>
        <rFont val="宋体"/>
        <family val="0"/>
      </rPr>
      <t>″</t>
    </r>
  </si>
  <si>
    <r>
      <t>E116°34</t>
    </r>
    <r>
      <rPr>
        <sz val="9"/>
        <rFont val="宋体"/>
        <family val="0"/>
      </rPr>
      <t>′</t>
    </r>
    <r>
      <rPr>
        <sz val="9"/>
        <rFont val="Times New Roman"/>
        <family val="1"/>
      </rPr>
      <t>035</t>
    </r>
    <r>
      <rPr>
        <sz val="9"/>
        <rFont val="宋体"/>
        <family val="0"/>
      </rPr>
      <t>″</t>
    </r>
  </si>
  <si>
    <r>
      <t>N40°11</t>
    </r>
    <r>
      <rPr>
        <sz val="9"/>
        <rFont val="宋体"/>
        <family val="0"/>
      </rPr>
      <t>′</t>
    </r>
    <r>
      <rPr>
        <sz val="9"/>
        <rFont val="Times New Roman"/>
        <family val="1"/>
      </rPr>
      <t>663</t>
    </r>
    <r>
      <rPr>
        <sz val="9"/>
        <rFont val="宋体"/>
        <family val="0"/>
      </rPr>
      <t>″</t>
    </r>
  </si>
  <si>
    <r>
      <t>N40°11</t>
    </r>
    <r>
      <rPr>
        <sz val="9"/>
        <rFont val="宋体"/>
        <family val="0"/>
      </rPr>
      <t>′</t>
    </r>
    <r>
      <rPr>
        <sz val="9"/>
        <rFont val="Times New Roman"/>
        <family val="1"/>
      </rPr>
      <t>822</t>
    </r>
    <r>
      <rPr>
        <sz val="9"/>
        <rFont val="宋体"/>
        <family val="0"/>
      </rPr>
      <t>″</t>
    </r>
  </si>
  <si>
    <r>
      <t>E116°34</t>
    </r>
    <r>
      <rPr>
        <sz val="9"/>
        <rFont val="宋体"/>
        <family val="0"/>
      </rPr>
      <t>′</t>
    </r>
    <r>
      <rPr>
        <sz val="9"/>
        <rFont val="Times New Roman"/>
        <family val="1"/>
      </rPr>
      <t>803</t>
    </r>
    <r>
      <rPr>
        <sz val="9"/>
        <rFont val="宋体"/>
        <family val="0"/>
      </rPr>
      <t>″</t>
    </r>
  </si>
  <si>
    <r>
      <t>N40°11</t>
    </r>
    <r>
      <rPr>
        <sz val="9"/>
        <rFont val="宋体"/>
        <family val="0"/>
      </rPr>
      <t>′</t>
    </r>
    <r>
      <rPr>
        <sz val="9"/>
        <rFont val="Times New Roman"/>
        <family val="1"/>
      </rPr>
      <t>816</t>
    </r>
    <r>
      <rPr>
        <sz val="9"/>
        <rFont val="宋体"/>
        <family val="0"/>
      </rPr>
      <t>″</t>
    </r>
  </si>
  <si>
    <r>
      <t>N40°11</t>
    </r>
    <r>
      <rPr>
        <sz val="9"/>
        <rFont val="宋体"/>
        <family val="0"/>
      </rPr>
      <t>′</t>
    </r>
    <r>
      <rPr>
        <sz val="9"/>
        <rFont val="Times New Roman"/>
        <family val="1"/>
      </rPr>
      <t>781</t>
    </r>
    <r>
      <rPr>
        <sz val="9"/>
        <rFont val="宋体"/>
        <family val="0"/>
      </rPr>
      <t>″</t>
    </r>
  </si>
  <si>
    <r>
      <t>E116°34</t>
    </r>
    <r>
      <rPr>
        <sz val="9"/>
        <rFont val="宋体"/>
        <family val="0"/>
      </rPr>
      <t>′</t>
    </r>
    <r>
      <rPr>
        <sz val="9"/>
        <rFont val="Times New Roman"/>
        <family val="1"/>
      </rPr>
      <t>806</t>
    </r>
    <r>
      <rPr>
        <sz val="9"/>
        <rFont val="宋体"/>
        <family val="0"/>
      </rPr>
      <t>″</t>
    </r>
  </si>
  <si>
    <r>
      <t>N40°11</t>
    </r>
    <r>
      <rPr>
        <sz val="9"/>
        <rFont val="宋体"/>
        <family val="0"/>
      </rPr>
      <t>′</t>
    </r>
    <r>
      <rPr>
        <sz val="9"/>
        <rFont val="Times New Roman"/>
        <family val="1"/>
      </rPr>
      <t>782</t>
    </r>
    <r>
      <rPr>
        <sz val="9"/>
        <rFont val="宋体"/>
        <family val="0"/>
      </rPr>
      <t>″</t>
    </r>
  </si>
  <si>
    <r>
      <t>E116°34</t>
    </r>
    <r>
      <rPr>
        <sz val="9"/>
        <rFont val="宋体"/>
        <family val="0"/>
      </rPr>
      <t>′</t>
    </r>
    <r>
      <rPr>
        <sz val="9"/>
        <rFont val="Times New Roman"/>
        <family val="1"/>
      </rPr>
      <t>805</t>
    </r>
    <r>
      <rPr>
        <sz val="9"/>
        <rFont val="宋体"/>
        <family val="0"/>
      </rPr>
      <t>″</t>
    </r>
  </si>
  <si>
    <r>
      <t>低位蘖</t>
    </r>
    <r>
      <rPr>
        <sz val="9"/>
        <rFont val="Times New Roman"/>
        <family val="1"/>
      </rPr>
      <t>8</t>
    </r>
  </si>
  <si>
    <r>
      <t>N40°11</t>
    </r>
    <r>
      <rPr>
        <sz val="9"/>
        <rFont val="宋体"/>
        <family val="0"/>
      </rPr>
      <t>′</t>
    </r>
    <r>
      <rPr>
        <sz val="9"/>
        <rFont val="Times New Roman"/>
        <family val="1"/>
      </rPr>
      <t>754</t>
    </r>
    <r>
      <rPr>
        <sz val="9"/>
        <rFont val="宋体"/>
        <family val="0"/>
      </rPr>
      <t>″</t>
    </r>
  </si>
  <si>
    <r>
      <t>E116°34</t>
    </r>
    <r>
      <rPr>
        <sz val="9"/>
        <rFont val="宋体"/>
        <family val="0"/>
      </rPr>
      <t>′</t>
    </r>
    <r>
      <rPr>
        <sz val="9"/>
        <rFont val="Times New Roman"/>
        <family val="1"/>
      </rPr>
      <t>809</t>
    </r>
    <r>
      <rPr>
        <sz val="9"/>
        <rFont val="宋体"/>
        <family val="0"/>
      </rPr>
      <t>″</t>
    </r>
  </si>
  <si>
    <r>
      <t>N40°11</t>
    </r>
    <r>
      <rPr>
        <sz val="9"/>
        <rFont val="宋体"/>
        <family val="0"/>
      </rPr>
      <t>′</t>
    </r>
    <r>
      <rPr>
        <sz val="9"/>
        <rFont val="Times New Roman"/>
        <family val="1"/>
      </rPr>
      <t>755</t>
    </r>
    <r>
      <rPr>
        <sz val="9"/>
        <rFont val="宋体"/>
        <family val="0"/>
      </rPr>
      <t>″</t>
    </r>
  </si>
  <si>
    <r>
      <t>E116°34</t>
    </r>
    <r>
      <rPr>
        <sz val="9"/>
        <rFont val="宋体"/>
        <family val="0"/>
      </rPr>
      <t>′</t>
    </r>
    <r>
      <rPr>
        <sz val="9"/>
        <rFont val="Times New Roman"/>
        <family val="1"/>
      </rPr>
      <t>812</t>
    </r>
    <r>
      <rPr>
        <sz val="9"/>
        <rFont val="宋体"/>
        <family val="0"/>
      </rPr>
      <t>″</t>
    </r>
  </si>
  <si>
    <r>
      <t>N40°11</t>
    </r>
    <r>
      <rPr>
        <sz val="9"/>
        <rFont val="宋体"/>
        <family val="0"/>
      </rPr>
      <t>′</t>
    </r>
    <r>
      <rPr>
        <sz val="9"/>
        <rFont val="Times New Roman"/>
        <family val="1"/>
      </rPr>
      <t>751</t>
    </r>
    <r>
      <rPr>
        <sz val="9"/>
        <rFont val="宋体"/>
        <family val="0"/>
      </rPr>
      <t>″</t>
    </r>
  </si>
  <si>
    <r>
      <t>N40°11</t>
    </r>
    <r>
      <rPr>
        <sz val="9"/>
        <rFont val="宋体"/>
        <family val="0"/>
      </rPr>
      <t>′</t>
    </r>
    <r>
      <rPr>
        <sz val="9"/>
        <rFont val="Times New Roman"/>
        <family val="1"/>
      </rPr>
      <t>784</t>
    </r>
    <r>
      <rPr>
        <sz val="9"/>
        <rFont val="宋体"/>
        <family val="0"/>
      </rPr>
      <t>″</t>
    </r>
  </si>
  <si>
    <r>
      <t>E116°34</t>
    </r>
    <r>
      <rPr>
        <sz val="9"/>
        <rFont val="宋体"/>
        <family val="0"/>
      </rPr>
      <t>′</t>
    </r>
    <r>
      <rPr>
        <sz val="9"/>
        <rFont val="Times New Roman"/>
        <family val="1"/>
      </rPr>
      <t>807</t>
    </r>
    <r>
      <rPr>
        <sz val="9"/>
        <rFont val="宋体"/>
        <family val="0"/>
      </rPr>
      <t>″</t>
    </r>
  </si>
  <si>
    <r>
      <t>N40°11</t>
    </r>
    <r>
      <rPr>
        <sz val="9"/>
        <rFont val="宋体"/>
        <family val="0"/>
      </rPr>
      <t>′</t>
    </r>
    <r>
      <rPr>
        <sz val="9"/>
        <rFont val="Times New Roman"/>
        <family val="1"/>
      </rPr>
      <t>826</t>
    </r>
    <r>
      <rPr>
        <sz val="9"/>
        <rFont val="宋体"/>
        <family val="0"/>
      </rPr>
      <t>″</t>
    </r>
  </si>
  <si>
    <r>
      <t>N40°11</t>
    </r>
    <r>
      <rPr>
        <sz val="9"/>
        <rFont val="宋体"/>
        <family val="0"/>
      </rPr>
      <t>′</t>
    </r>
    <r>
      <rPr>
        <sz val="9"/>
        <rFont val="Times New Roman"/>
        <family val="1"/>
      </rPr>
      <t>738</t>
    </r>
    <r>
      <rPr>
        <sz val="9"/>
        <rFont val="宋体"/>
        <family val="0"/>
      </rPr>
      <t>″</t>
    </r>
  </si>
  <si>
    <r>
      <t>E116°34</t>
    </r>
    <r>
      <rPr>
        <sz val="9"/>
        <rFont val="宋体"/>
        <family val="0"/>
      </rPr>
      <t>′</t>
    </r>
    <r>
      <rPr>
        <sz val="9"/>
        <rFont val="Times New Roman"/>
        <family val="1"/>
      </rPr>
      <t>802</t>
    </r>
    <r>
      <rPr>
        <sz val="9"/>
        <rFont val="宋体"/>
        <family val="0"/>
      </rPr>
      <t>″</t>
    </r>
  </si>
  <si>
    <r>
      <t>N40°11</t>
    </r>
    <r>
      <rPr>
        <sz val="9"/>
        <rFont val="宋体"/>
        <family val="0"/>
      </rPr>
      <t>′</t>
    </r>
    <r>
      <rPr>
        <sz val="9"/>
        <rFont val="Times New Roman"/>
        <family val="1"/>
      </rPr>
      <t>736</t>
    </r>
    <r>
      <rPr>
        <sz val="9"/>
        <rFont val="宋体"/>
        <family val="0"/>
      </rPr>
      <t>″</t>
    </r>
  </si>
  <si>
    <r>
      <t>E116°34</t>
    </r>
    <r>
      <rPr>
        <sz val="9"/>
        <rFont val="宋体"/>
        <family val="0"/>
      </rPr>
      <t>′</t>
    </r>
    <r>
      <rPr>
        <sz val="9"/>
        <rFont val="Times New Roman"/>
        <family val="1"/>
      </rPr>
      <t>804</t>
    </r>
    <r>
      <rPr>
        <sz val="9"/>
        <rFont val="宋体"/>
        <family val="0"/>
      </rPr>
      <t>″</t>
    </r>
  </si>
  <si>
    <r>
      <t>N40°11</t>
    </r>
    <r>
      <rPr>
        <sz val="9"/>
        <rFont val="宋体"/>
        <family val="0"/>
      </rPr>
      <t>′</t>
    </r>
    <r>
      <rPr>
        <sz val="9"/>
        <rFont val="Times New Roman"/>
        <family val="1"/>
      </rPr>
      <t>737</t>
    </r>
    <r>
      <rPr>
        <sz val="9"/>
        <rFont val="宋体"/>
        <family val="0"/>
      </rPr>
      <t>″</t>
    </r>
  </si>
  <si>
    <r>
      <t>E116°34</t>
    </r>
    <r>
      <rPr>
        <sz val="9"/>
        <rFont val="宋体"/>
        <family val="0"/>
      </rPr>
      <t>′</t>
    </r>
    <r>
      <rPr>
        <sz val="9"/>
        <rFont val="Times New Roman"/>
        <family val="1"/>
      </rPr>
      <t>801</t>
    </r>
    <r>
      <rPr>
        <sz val="9"/>
        <rFont val="宋体"/>
        <family val="0"/>
      </rPr>
      <t>″</t>
    </r>
  </si>
  <si>
    <r>
      <t>N40°11</t>
    </r>
    <r>
      <rPr>
        <sz val="9"/>
        <rFont val="宋体"/>
        <family val="0"/>
      </rPr>
      <t>′</t>
    </r>
    <r>
      <rPr>
        <sz val="9"/>
        <rFont val="Times New Roman"/>
        <family val="1"/>
      </rPr>
      <t>733</t>
    </r>
    <r>
      <rPr>
        <sz val="9"/>
        <rFont val="宋体"/>
        <family val="0"/>
      </rPr>
      <t>″</t>
    </r>
  </si>
  <si>
    <r>
      <t>N40°11</t>
    </r>
    <r>
      <rPr>
        <sz val="9"/>
        <rFont val="宋体"/>
        <family val="0"/>
      </rPr>
      <t>′</t>
    </r>
    <r>
      <rPr>
        <sz val="9"/>
        <rFont val="Times New Roman"/>
        <family val="1"/>
      </rPr>
      <t>735</t>
    </r>
    <r>
      <rPr>
        <sz val="9"/>
        <rFont val="宋体"/>
        <family val="0"/>
      </rPr>
      <t>″</t>
    </r>
  </si>
  <si>
    <r>
      <t>C3-</t>
    </r>
    <r>
      <rPr>
        <sz val="9"/>
        <rFont val="宋体"/>
        <family val="0"/>
      </rPr>
      <t>东</t>
    </r>
  </si>
  <si>
    <r>
      <t>C3-</t>
    </r>
    <r>
      <rPr>
        <sz val="9"/>
        <rFont val="宋体"/>
        <family val="0"/>
      </rPr>
      <t>西</t>
    </r>
  </si>
  <si>
    <r>
      <t>N40°12</t>
    </r>
    <r>
      <rPr>
        <sz val="9"/>
        <rFont val="宋体"/>
        <family val="0"/>
      </rPr>
      <t>′</t>
    </r>
    <r>
      <rPr>
        <sz val="9"/>
        <rFont val="Times New Roman"/>
        <family val="1"/>
      </rPr>
      <t>297</t>
    </r>
    <r>
      <rPr>
        <sz val="9"/>
        <rFont val="宋体"/>
        <family val="0"/>
      </rPr>
      <t>″</t>
    </r>
  </si>
  <si>
    <r>
      <t>E116°42</t>
    </r>
    <r>
      <rPr>
        <sz val="9"/>
        <rFont val="宋体"/>
        <family val="0"/>
      </rPr>
      <t>′</t>
    </r>
    <r>
      <rPr>
        <sz val="9"/>
        <rFont val="Times New Roman"/>
        <family val="1"/>
      </rPr>
      <t>390</t>
    </r>
    <r>
      <rPr>
        <sz val="9"/>
        <rFont val="宋体"/>
        <family val="0"/>
      </rPr>
      <t>″</t>
    </r>
  </si>
  <si>
    <r>
      <t>N40°12</t>
    </r>
    <r>
      <rPr>
        <sz val="9"/>
        <rFont val="宋体"/>
        <family val="0"/>
      </rPr>
      <t>′</t>
    </r>
    <r>
      <rPr>
        <sz val="9"/>
        <rFont val="Times New Roman"/>
        <family val="1"/>
      </rPr>
      <t>306</t>
    </r>
    <r>
      <rPr>
        <sz val="9"/>
        <rFont val="宋体"/>
        <family val="0"/>
      </rPr>
      <t>″</t>
    </r>
  </si>
  <si>
    <r>
      <t>E116°42</t>
    </r>
    <r>
      <rPr>
        <sz val="9"/>
        <rFont val="宋体"/>
        <family val="0"/>
      </rPr>
      <t>′</t>
    </r>
    <r>
      <rPr>
        <sz val="9"/>
        <rFont val="Times New Roman"/>
        <family val="1"/>
      </rPr>
      <t>394</t>
    </r>
    <r>
      <rPr>
        <sz val="9"/>
        <rFont val="宋体"/>
        <family val="0"/>
      </rPr>
      <t>″</t>
    </r>
  </si>
  <si>
    <r>
      <t>E116°34</t>
    </r>
    <r>
      <rPr>
        <sz val="9"/>
        <rFont val="宋体"/>
        <family val="0"/>
      </rPr>
      <t>′</t>
    </r>
    <r>
      <rPr>
        <sz val="9"/>
        <rFont val="Times New Roman"/>
        <family val="1"/>
      </rPr>
      <t>012</t>
    </r>
    <r>
      <rPr>
        <sz val="9"/>
        <rFont val="宋体"/>
        <family val="0"/>
      </rPr>
      <t>″</t>
    </r>
  </si>
  <si>
    <r>
      <t>E116°3</t>
    </r>
    <r>
      <rPr>
        <sz val="9"/>
        <rFont val="宋体"/>
        <family val="0"/>
      </rPr>
      <t>′</t>
    </r>
    <r>
      <rPr>
        <sz val="9"/>
        <rFont val="Times New Roman"/>
        <family val="1"/>
      </rPr>
      <t>106</t>
    </r>
    <r>
      <rPr>
        <sz val="9"/>
        <rFont val="宋体"/>
        <family val="0"/>
      </rPr>
      <t>″</t>
    </r>
  </si>
  <si>
    <r>
      <t>E116°34</t>
    </r>
    <r>
      <rPr>
        <sz val="9"/>
        <rFont val="宋体"/>
        <family val="0"/>
      </rPr>
      <t>′</t>
    </r>
    <r>
      <rPr>
        <sz val="9"/>
        <rFont val="Times New Roman"/>
        <family val="1"/>
      </rPr>
      <t>000</t>
    </r>
    <r>
      <rPr>
        <sz val="9"/>
        <rFont val="宋体"/>
        <family val="0"/>
      </rPr>
      <t>″</t>
    </r>
  </si>
  <si>
    <r>
      <t>E116°34</t>
    </r>
    <r>
      <rPr>
        <sz val="9"/>
        <rFont val="宋体"/>
        <family val="0"/>
      </rPr>
      <t>′</t>
    </r>
    <r>
      <rPr>
        <sz val="9"/>
        <rFont val="Times New Roman"/>
        <family val="1"/>
      </rPr>
      <t>051</t>
    </r>
    <r>
      <rPr>
        <sz val="9"/>
        <rFont val="宋体"/>
        <family val="0"/>
      </rPr>
      <t>″</t>
    </r>
  </si>
  <si>
    <r>
      <t>N40°11</t>
    </r>
    <r>
      <rPr>
        <sz val="9"/>
        <rFont val="宋体"/>
        <family val="0"/>
      </rPr>
      <t>′</t>
    </r>
    <r>
      <rPr>
        <sz val="9"/>
        <rFont val="Times New Roman"/>
        <family val="1"/>
      </rPr>
      <t>677</t>
    </r>
    <r>
      <rPr>
        <sz val="9"/>
        <rFont val="宋体"/>
        <family val="0"/>
      </rPr>
      <t>″</t>
    </r>
  </si>
  <si>
    <r>
      <t>E116°34</t>
    </r>
    <r>
      <rPr>
        <sz val="9"/>
        <rFont val="宋体"/>
        <family val="0"/>
      </rPr>
      <t>′</t>
    </r>
    <r>
      <rPr>
        <sz val="9"/>
        <rFont val="Times New Roman"/>
        <family val="1"/>
      </rPr>
      <t>093</t>
    </r>
    <r>
      <rPr>
        <sz val="9"/>
        <rFont val="宋体"/>
        <family val="0"/>
      </rPr>
      <t>″</t>
    </r>
  </si>
  <si>
    <r>
      <t>N40°11</t>
    </r>
    <r>
      <rPr>
        <sz val="9"/>
        <rFont val="宋体"/>
        <family val="0"/>
      </rPr>
      <t>′</t>
    </r>
    <r>
      <rPr>
        <sz val="9"/>
        <rFont val="Times New Roman"/>
        <family val="1"/>
      </rPr>
      <t>709</t>
    </r>
    <r>
      <rPr>
        <sz val="9"/>
        <rFont val="宋体"/>
        <family val="0"/>
      </rPr>
      <t>″</t>
    </r>
  </si>
  <si>
    <r>
      <t>E116°34</t>
    </r>
    <r>
      <rPr>
        <sz val="9"/>
        <rFont val="宋体"/>
        <family val="0"/>
      </rPr>
      <t>′</t>
    </r>
    <r>
      <rPr>
        <sz val="9"/>
        <rFont val="Times New Roman"/>
        <family val="1"/>
      </rPr>
      <t>735</t>
    </r>
    <r>
      <rPr>
        <sz val="9"/>
        <rFont val="宋体"/>
        <family val="0"/>
      </rPr>
      <t>″</t>
    </r>
  </si>
  <si>
    <r>
      <t>N40°11</t>
    </r>
    <r>
      <rPr>
        <sz val="9"/>
        <rFont val="宋体"/>
        <family val="0"/>
      </rPr>
      <t>′</t>
    </r>
    <r>
      <rPr>
        <sz val="9"/>
        <rFont val="Times New Roman"/>
        <family val="1"/>
      </rPr>
      <t>698</t>
    </r>
    <r>
      <rPr>
        <sz val="9"/>
        <rFont val="宋体"/>
        <family val="0"/>
      </rPr>
      <t>″</t>
    </r>
  </si>
  <si>
    <r>
      <t>N40°11</t>
    </r>
    <r>
      <rPr>
        <sz val="9"/>
        <rFont val="宋体"/>
        <family val="0"/>
      </rPr>
      <t>′</t>
    </r>
    <r>
      <rPr>
        <sz val="9"/>
        <rFont val="Times New Roman"/>
        <family val="1"/>
      </rPr>
      <t>705</t>
    </r>
    <r>
      <rPr>
        <sz val="9"/>
        <rFont val="宋体"/>
        <family val="0"/>
      </rPr>
      <t>″</t>
    </r>
  </si>
  <si>
    <r>
      <t>E116°34</t>
    </r>
    <r>
      <rPr>
        <sz val="9"/>
        <rFont val="宋体"/>
        <family val="0"/>
      </rPr>
      <t>′</t>
    </r>
    <r>
      <rPr>
        <sz val="9"/>
        <rFont val="Times New Roman"/>
        <family val="1"/>
      </rPr>
      <t>704</t>
    </r>
    <r>
      <rPr>
        <sz val="9"/>
        <rFont val="宋体"/>
        <family val="0"/>
      </rPr>
      <t>″</t>
    </r>
  </si>
  <si>
    <r>
      <t>N40°11</t>
    </r>
    <r>
      <rPr>
        <sz val="9"/>
        <rFont val="宋体"/>
        <family val="0"/>
      </rPr>
      <t>′</t>
    </r>
    <r>
      <rPr>
        <sz val="9"/>
        <rFont val="Times New Roman"/>
        <family val="1"/>
      </rPr>
      <t>699</t>
    </r>
    <r>
      <rPr>
        <sz val="9"/>
        <rFont val="宋体"/>
        <family val="0"/>
      </rPr>
      <t>″</t>
    </r>
  </si>
  <si>
    <r>
      <t>E116°34</t>
    </r>
    <r>
      <rPr>
        <sz val="9"/>
        <rFont val="宋体"/>
        <family val="0"/>
      </rPr>
      <t>′</t>
    </r>
    <r>
      <rPr>
        <sz val="9"/>
        <rFont val="Times New Roman"/>
        <family val="1"/>
      </rPr>
      <t>761</t>
    </r>
    <r>
      <rPr>
        <sz val="9"/>
        <rFont val="宋体"/>
        <family val="0"/>
      </rPr>
      <t>″</t>
    </r>
  </si>
  <si>
    <r>
      <t>E116°42</t>
    </r>
    <r>
      <rPr>
        <sz val="9"/>
        <rFont val="宋体"/>
        <family val="0"/>
      </rPr>
      <t>′</t>
    </r>
    <r>
      <rPr>
        <sz val="9"/>
        <rFont val="Times New Roman"/>
        <family val="1"/>
      </rPr>
      <t>206</t>
    </r>
    <r>
      <rPr>
        <sz val="9"/>
        <rFont val="宋体"/>
        <family val="0"/>
      </rPr>
      <t>″</t>
    </r>
  </si>
  <si>
    <r>
      <t>N40°12</t>
    </r>
    <r>
      <rPr>
        <sz val="9"/>
        <rFont val="宋体"/>
        <family val="0"/>
      </rPr>
      <t>′</t>
    </r>
    <r>
      <rPr>
        <sz val="9"/>
        <rFont val="Times New Roman"/>
        <family val="1"/>
      </rPr>
      <t>187</t>
    </r>
    <r>
      <rPr>
        <sz val="9"/>
        <rFont val="宋体"/>
        <family val="0"/>
      </rPr>
      <t>″</t>
    </r>
  </si>
  <si>
    <r>
      <t>E116°42</t>
    </r>
    <r>
      <rPr>
        <sz val="9"/>
        <rFont val="宋体"/>
        <family val="0"/>
      </rPr>
      <t>′</t>
    </r>
    <r>
      <rPr>
        <sz val="9"/>
        <rFont val="Times New Roman"/>
        <family val="1"/>
      </rPr>
      <t>207</t>
    </r>
    <r>
      <rPr>
        <sz val="9"/>
        <rFont val="宋体"/>
        <family val="0"/>
      </rPr>
      <t>″</t>
    </r>
  </si>
  <si>
    <r>
      <t>N40°12</t>
    </r>
    <r>
      <rPr>
        <sz val="9"/>
        <rFont val="宋体"/>
        <family val="0"/>
      </rPr>
      <t>′</t>
    </r>
    <r>
      <rPr>
        <sz val="9"/>
        <rFont val="Times New Roman"/>
        <family val="1"/>
      </rPr>
      <t>181</t>
    </r>
    <r>
      <rPr>
        <sz val="9"/>
        <rFont val="宋体"/>
        <family val="0"/>
      </rPr>
      <t>″</t>
    </r>
  </si>
  <si>
    <r>
      <t>E116°42</t>
    </r>
    <r>
      <rPr>
        <sz val="9"/>
        <rFont val="宋体"/>
        <family val="0"/>
      </rPr>
      <t>′</t>
    </r>
    <r>
      <rPr>
        <sz val="9"/>
        <rFont val="Times New Roman"/>
        <family val="1"/>
      </rPr>
      <t>266</t>
    </r>
    <r>
      <rPr>
        <sz val="9"/>
        <rFont val="宋体"/>
        <family val="0"/>
      </rPr>
      <t>″</t>
    </r>
  </si>
  <si>
    <r>
      <t>40°11</t>
    </r>
    <r>
      <rPr>
        <sz val="9"/>
        <rFont val="宋体"/>
        <family val="0"/>
      </rPr>
      <t>′</t>
    </r>
    <r>
      <rPr>
        <sz val="9"/>
        <rFont val="Times New Roman"/>
        <family val="1"/>
      </rPr>
      <t>675</t>
    </r>
    <r>
      <rPr>
        <sz val="9"/>
        <rFont val="宋体"/>
        <family val="0"/>
      </rPr>
      <t>″</t>
    </r>
  </si>
  <si>
    <r>
      <t>116°34</t>
    </r>
    <r>
      <rPr>
        <sz val="9"/>
        <rFont val="宋体"/>
        <family val="0"/>
      </rPr>
      <t>′</t>
    </r>
    <r>
      <rPr>
        <sz val="9"/>
        <rFont val="Times New Roman"/>
        <family val="1"/>
      </rPr>
      <t>027</t>
    </r>
    <r>
      <rPr>
        <sz val="9"/>
        <rFont val="宋体"/>
        <family val="0"/>
      </rPr>
      <t>″</t>
    </r>
  </si>
  <si>
    <r>
      <t>116°34</t>
    </r>
    <r>
      <rPr>
        <sz val="9"/>
        <rFont val="宋体"/>
        <family val="0"/>
      </rPr>
      <t>′</t>
    </r>
    <r>
      <rPr>
        <sz val="9"/>
        <rFont val="Times New Roman"/>
        <family val="1"/>
      </rPr>
      <t>003</t>
    </r>
    <r>
      <rPr>
        <sz val="9"/>
        <rFont val="宋体"/>
        <family val="0"/>
      </rPr>
      <t>″</t>
    </r>
  </si>
  <si>
    <r>
      <t>116°34</t>
    </r>
    <r>
      <rPr>
        <sz val="9"/>
        <rFont val="宋体"/>
        <family val="0"/>
      </rPr>
      <t>′</t>
    </r>
    <r>
      <rPr>
        <sz val="9"/>
        <rFont val="Times New Roman"/>
        <family val="1"/>
      </rPr>
      <t>046</t>
    </r>
    <r>
      <rPr>
        <sz val="9"/>
        <rFont val="宋体"/>
        <family val="0"/>
      </rPr>
      <t>″</t>
    </r>
  </si>
  <si>
    <r>
      <t>40°12</t>
    </r>
    <r>
      <rPr>
        <sz val="9"/>
        <rFont val="宋体"/>
        <family val="0"/>
      </rPr>
      <t>′</t>
    </r>
    <r>
      <rPr>
        <sz val="9"/>
        <rFont val="Times New Roman"/>
        <family val="1"/>
      </rPr>
      <t>298</t>
    </r>
    <r>
      <rPr>
        <sz val="9"/>
        <rFont val="宋体"/>
        <family val="0"/>
      </rPr>
      <t>″</t>
    </r>
  </si>
  <si>
    <r>
      <t>116°42</t>
    </r>
    <r>
      <rPr>
        <sz val="9"/>
        <rFont val="宋体"/>
        <family val="0"/>
      </rPr>
      <t>′</t>
    </r>
    <r>
      <rPr>
        <sz val="9"/>
        <rFont val="Times New Roman"/>
        <family val="1"/>
      </rPr>
      <t>447</t>
    </r>
    <r>
      <rPr>
        <sz val="9"/>
        <rFont val="宋体"/>
        <family val="0"/>
      </rPr>
      <t>″</t>
    </r>
  </si>
  <si>
    <r>
      <t>40°12</t>
    </r>
    <r>
      <rPr>
        <sz val="9"/>
        <rFont val="宋体"/>
        <family val="0"/>
      </rPr>
      <t>′</t>
    </r>
    <r>
      <rPr>
        <sz val="9"/>
        <rFont val="Times New Roman"/>
        <family val="1"/>
      </rPr>
      <t>304</t>
    </r>
    <r>
      <rPr>
        <sz val="9"/>
        <rFont val="宋体"/>
        <family val="0"/>
      </rPr>
      <t>″</t>
    </r>
  </si>
  <si>
    <r>
      <t>40°12</t>
    </r>
    <r>
      <rPr>
        <sz val="9"/>
        <rFont val="宋体"/>
        <family val="0"/>
      </rPr>
      <t>′</t>
    </r>
    <r>
      <rPr>
        <sz val="9"/>
        <rFont val="Times New Roman"/>
        <family val="1"/>
      </rPr>
      <t>303</t>
    </r>
    <r>
      <rPr>
        <sz val="9"/>
        <rFont val="宋体"/>
        <family val="0"/>
      </rPr>
      <t>″</t>
    </r>
  </si>
  <si>
    <r>
      <t>N40°11</t>
    </r>
    <r>
      <rPr>
        <sz val="9"/>
        <rFont val="宋体"/>
        <family val="0"/>
      </rPr>
      <t>′</t>
    </r>
    <r>
      <rPr>
        <sz val="9"/>
        <rFont val="Times New Roman"/>
        <family val="1"/>
      </rPr>
      <t>673</t>
    </r>
    <r>
      <rPr>
        <sz val="9"/>
        <rFont val="宋体"/>
        <family val="0"/>
      </rPr>
      <t>″</t>
    </r>
  </si>
  <si>
    <r>
      <t>E116°34</t>
    </r>
    <r>
      <rPr>
        <sz val="9"/>
        <rFont val="宋体"/>
        <family val="0"/>
      </rPr>
      <t>′</t>
    </r>
    <r>
      <rPr>
        <sz val="9"/>
        <rFont val="Times New Roman"/>
        <family val="1"/>
      </rPr>
      <t>023</t>
    </r>
    <r>
      <rPr>
        <sz val="9"/>
        <rFont val="宋体"/>
        <family val="0"/>
      </rPr>
      <t>″</t>
    </r>
  </si>
  <si>
    <r>
      <t>N40°11</t>
    </r>
    <r>
      <rPr>
        <sz val="9"/>
        <rFont val="宋体"/>
        <family val="0"/>
      </rPr>
      <t>′</t>
    </r>
    <r>
      <rPr>
        <sz val="9"/>
        <rFont val="Times New Roman"/>
        <family val="1"/>
      </rPr>
      <t>675</t>
    </r>
    <r>
      <rPr>
        <sz val="9"/>
        <rFont val="宋体"/>
        <family val="0"/>
      </rPr>
      <t>″</t>
    </r>
  </si>
  <si>
    <r>
      <t>E116°34</t>
    </r>
    <r>
      <rPr>
        <sz val="9"/>
        <rFont val="宋体"/>
        <family val="0"/>
      </rPr>
      <t>′</t>
    </r>
    <r>
      <rPr>
        <sz val="9"/>
        <rFont val="Times New Roman"/>
        <family val="1"/>
      </rPr>
      <t>027</t>
    </r>
    <r>
      <rPr>
        <sz val="9"/>
        <rFont val="宋体"/>
        <family val="0"/>
      </rPr>
      <t>″</t>
    </r>
  </si>
  <si>
    <r>
      <t>N40°11</t>
    </r>
    <r>
      <rPr>
        <sz val="9"/>
        <rFont val="宋体"/>
        <family val="0"/>
      </rPr>
      <t>′</t>
    </r>
    <r>
      <rPr>
        <sz val="9"/>
        <rFont val="Times New Roman"/>
        <family val="1"/>
      </rPr>
      <t>676</t>
    </r>
    <r>
      <rPr>
        <sz val="9"/>
        <rFont val="宋体"/>
        <family val="0"/>
      </rPr>
      <t>″</t>
    </r>
  </si>
  <si>
    <r>
      <t>E116°34</t>
    </r>
    <r>
      <rPr>
        <sz val="9"/>
        <rFont val="宋体"/>
        <family val="0"/>
      </rPr>
      <t>′</t>
    </r>
    <r>
      <rPr>
        <sz val="9"/>
        <rFont val="Times New Roman"/>
        <family val="1"/>
      </rPr>
      <t>046</t>
    </r>
    <r>
      <rPr>
        <sz val="9"/>
        <rFont val="宋体"/>
        <family val="0"/>
      </rPr>
      <t>″</t>
    </r>
  </si>
  <si>
    <r>
      <t>m</t>
    </r>
    <r>
      <rPr>
        <sz val="9"/>
        <rFont val="宋体"/>
        <family val="0"/>
      </rPr>
      <t>Atheta</t>
    </r>
  </si>
  <si>
    <r>
      <t>N40°11</t>
    </r>
    <r>
      <rPr>
        <sz val="9"/>
        <rFont val="宋体"/>
        <family val="0"/>
      </rPr>
      <t>′</t>
    </r>
    <r>
      <rPr>
        <sz val="9"/>
        <rFont val="Times New Roman"/>
        <family val="1"/>
      </rPr>
      <t>678</t>
    </r>
    <r>
      <rPr>
        <sz val="9"/>
        <rFont val="宋体"/>
        <family val="0"/>
      </rPr>
      <t>″</t>
    </r>
  </si>
  <si>
    <t>maveta</t>
  </si>
  <si>
    <r>
      <t>E116°34</t>
    </r>
    <r>
      <rPr>
        <sz val="9"/>
        <rFont val="宋体"/>
        <family val="0"/>
      </rPr>
      <t>′</t>
    </r>
    <r>
      <rPr>
        <sz val="9"/>
        <rFont val="Times New Roman"/>
        <family val="1"/>
      </rPr>
      <t>045</t>
    </r>
    <r>
      <rPr>
        <sz val="9"/>
        <rFont val="宋体"/>
        <family val="0"/>
      </rPr>
      <t>″</t>
    </r>
  </si>
  <si>
    <r>
      <t>E116°34</t>
    </r>
    <r>
      <rPr>
        <sz val="9"/>
        <rFont val="宋体"/>
        <family val="0"/>
      </rPr>
      <t>′</t>
    </r>
    <r>
      <rPr>
        <sz val="9"/>
        <rFont val="Times New Roman"/>
        <family val="1"/>
      </rPr>
      <t>078</t>
    </r>
    <r>
      <rPr>
        <sz val="9"/>
        <rFont val="宋体"/>
        <family val="0"/>
      </rPr>
      <t>″</t>
    </r>
  </si>
  <si>
    <r>
      <t>N40°11</t>
    </r>
    <r>
      <rPr>
        <sz val="9"/>
        <rFont val="宋体"/>
        <family val="0"/>
      </rPr>
      <t>′</t>
    </r>
    <r>
      <rPr>
        <sz val="9"/>
        <rFont val="Times New Roman"/>
        <family val="1"/>
      </rPr>
      <t>674</t>
    </r>
    <r>
      <rPr>
        <sz val="9"/>
        <rFont val="宋体"/>
        <family val="0"/>
      </rPr>
      <t>″</t>
    </r>
  </si>
  <si>
    <r>
      <t>E116°34</t>
    </r>
    <r>
      <rPr>
        <sz val="9"/>
        <rFont val="宋体"/>
        <family val="0"/>
      </rPr>
      <t>′</t>
    </r>
    <r>
      <rPr>
        <sz val="9"/>
        <rFont val="Times New Roman"/>
        <family val="1"/>
      </rPr>
      <t>082</t>
    </r>
    <r>
      <rPr>
        <sz val="9"/>
        <rFont val="宋体"/>
        <family val="0"/>
      </rPr>
      <t>″</t>
    </r>
  </si>
  <si>
    <r>
      <t>E116°34</t>
    </r>
    <r>
      <rPr>
        <sz val="9"/>
        <rFont val="宋体"/>
        <family val="0"/>
      </rPr>
      <t>′</t>
    </r>
    <r>
      <rPr>
        <sz val="9"/>
        <rFont val="Times New Roman"/>
        <family val="1"/>
      </rPr>
      <t>087</t>
    </r>
    <r>
      <rPr>
        <sz val="9"/>
        <rFont val="宋体"/>
        <family val="0"/>
      </rPr>
      <t>″</t>
    </r>
  </si>
  <si>
    <r>
      <t>N40°11</t>
    </r>
    <r>
      <rPr>
        <sz val="9"/>
        <rFont val="宋体"/>
        <family val="0"/>
      </rPr>
      <t>′</t>
    </r>
    <r>
      <rPr>
        <sz val="9"/>
        <rFont val="Times New Roman"/>
        <family val="1"/>
      </rPr>
      <t>668</t>
    </r>
    <r>
      <rPr>
        <sz val="9"/>
        <rFont val="宋体"/>
        <family val="0"/>
      </rPr>
      <t>″</t>
    </r>
  </si>
  <si>
    <r>
      <t>E116°34</t>
    </r>
    <r>
      <rPr>
        <sz val="9"/>
        <rFont val="宋体"/>
        <family val="0"/>
      </rPr>
      <t>′</t>
    </r>
    <r>
      <rPr>
        <sz val="9"/>
        <rFont val="Times New Roman"/>
        <family val="1"/>
      </rPr>
      <t>071</t>
    </r>
    <r>
      <rPr>
        <sz val="9"/>
        <rFont val="宋体"/>
        <family val="0"/>
      </rPr>
      <t>″</t>
    </r>
  </si>
  <si>
    <r>
      <t>E116°34</t>
    </r>
    <r>
      <rPr>
        <sz val="9"/>
        <rFont val="宋体"/>
        <family val="0"/>
      </rPr>
      <t>′</t>
    </r>
    <r>
      <rPr>
        <sz val="9"/>
        <rFont val="Times New Roman"/>
        <family val="1"/>
      </rPr>
      <t>035</t>
    </r>
    <r>
      <rPr>
        <sz val="9"/>
        <rFont val="宋体"/>
        <family val="0"/>
      </rPr>
      <t>″</t>
    </r>
  </si>
  <si>
    <r>
      <t>N40°11</t>
    </r>
    <r>
      <rPr>
        <sz val="9"/>
        <rFont val="宋体"/>
        <family val="0"/>
      </rPr>
      <t>′</t>
    </r>
    <r>
      <rPr>
        <sz val="9"/>
        <rFont val="Times New Roman"/>
        <family val="1"/>
      </rPr>
      <t>655</t>
    </r>
    <r>
      <rPr>
        <sz val="9"/>
        <rFont val="宋体"/>
        <family val="0"/>
      </rPr>
      <t>″</t>
    </r>
  </si>
  <si>
    <r>
      <t>E116°33</t>
    </r>
    <r>
      <rPr>
        <sz val="9"/>
        <rFont val="宋体"/>
        <family val="0"/>
      </rPr>
      <t>′</t>
    </r>
    <r>
      <rPr>
        <sz val="9"/>
        <rFont val="Times New Roman"/>
        <family val="1"/>
      </rPr>
      <t>961</t>
    </r>
    <r>
      <rPr>
        <sz val="9"/>
        <rFont val="宋体"/>
        <family val="0"/>
      </rPr>
      <t>″</t>
    </r>
  </si>
  <si>
    <r>
      <t>N40°11</t>
    </r>
    <r>
      <rPr>
        <sz val="9"/>
        <rFont val="宋体"/>
        <family val="0"/>
      </rPr>
      <t>′</t>
    </r>
    <r>
      <rPr>
        <sz val="9"/>
        <rFont val="Times New Roman"/>
        <family val="1"/>
      </rPr>
      <t>661</t>
    </r>
    <r>
      <rPr>
        <sz val="9"/>
        <rFont val="宋体"/>
        <family val="0"/>
      </rPr>
      <t>″</t>
    </r>
  </si>
  <si>
    <r>
      <t>E116°33</t>
    </r>
    <r>
      <rPr>
        <sz val="9"/>
        <rFont val="宋体"/>
        <family val="0"/>
      </rPr>
      <t>′</t>
    </r>
    <r>
      <rPr>
        <sz val="9"/>
        <rFont val="Times New Roman"/>
        <family val="1"/>
      </rPr>
      <t>985</t>
    </r>
    <r>
      <rPr>
        <sz val="9"/>
        <rFont val="宋体"/>
        <family val="0"/>
      </rPr>
      <t>″</t>
    </r>
  </si>
  <si>
    <r>
      <t>N40°11</t>
    </r>
    <r>
      <rPr>
        <sz val="9"/>
        <rFont val="宋体"/>
        <family val="0"/>
      </rPr>
      <t>′</t>
    </r>
    <r>
      <rPr>
        <sz val="9"/>
        <rFont val="Times New Roman"/>
        <family val="1"/>
      </rPr>
      <t>667</t>
    </r>
    <r>
      <rPr>
        <sz val="9"/>
        <rFont val="宋体"/>
        <family val="0"/>
      </rPr>
      <t>″</t>
    </r>
  </si>
  <si>
    <r>
      <t>E116°33</t>
    </r>
    <r>
      <rPr>
        <sz val="9"/>
        <rFont val="宋体"/>
        <family val="0"/>
      </rPr>
      <t>′</t>
    </r>
    <r>
      <rPr>
        <sz val="9"/>
        <rFont val="Times New Roman"/>
        <family val="1"/>
      </rPr>
      <t>979</t>
    </r>
    <r>
      <rPr>
        <sz val="9"/>
        <rFont val="宋体"/>
        <family val="0"/>
      </rPr>
      <t>″</t>
    </r>
  </si>
  <si>
    <r>
      <t>E116°33</t>
    </r>
    <r>
      <rPr>
        <sz val="9"/>
        <rFont val="宋体"/>
        <family val="0"/>
      </rPr>
      <t>′</t>
    </r>
    <r>
      <rPr>
        <sz val="9"/>
        <rFont val="Times New Roman"/>
        <family val="1"/>
      </rPr>
      <t>997</t>
    </r>
    <r>
      <rPr>
        <sz val="9"/>
        <rFont val="宋体"/>
        <family val="0"/>
      </rPr>
      <t>″</t>
    </r>
  </si>
  <si>
    <r>
      <t>E116°33</t>
    </r>
    <r>
      <rPr>
        <sz val="9"/>
        <rFont val="宋体"/>
        <family val="0"/>
      </rPr>
      <t>′</t>
    </r>
    <r>
      <rPr>
        <sz val="9"/>
        <rFont val="Times New Roman"/>
        <family val="1"/>
      </rPr>
      <t>996</t>
    </r>
    <r>
      <rPr>
        <sz val="9"/>
        <rFont val="宋体"/>
        <family val="0"/>
      </rPr>
      <t>″</t>
    </r>
  </si>
  <si>
    <r>
      <t>E116°33</t>
    </r>
    <r>
      <rPr>
        <sz val="9"/>
        <rFont val="宋体"/>
        <family val="0"/>
      </rPr>
      <t>′</t>
    </r>
    <r>
      <rPr>
        <sz val="9"/>
        <rFont val="Times New Roman"/>
        <family val="1"/>
      </rPr>
      <t>012</t>
    </r>
    <r>
      <rPr>
        <sz val="9"/>
        <rFont val="宋体"/>
        <family val="0"/>
      </rPr>
      <t>″</t>
    </r>
  </si>
  <si>
    <r>
      <t>E116°33</t>
    </r>
    <r>
      <rPr>
        <sz val="9"/>
        <rFont val="宋体"/>
        <family val="0"/>
      </rPr>
      <t>′</t>
    </r>
    <r>
      <rPr>
        <sz val="9"/>
        <rFont val="Times New Roman"/>
        <family val="1"/>
      </rPr>
      <t>008</t>
    </r>
    <r>
      <rPr>
        <sz val="9"/>
        <rFont val="宋体"/>
        <family val="0"/>
      </rPr>
      <t>″</t>
    </r>
  </si>
  <si>
    <r>
      <t>N40°11</t>
    </r>
    <r>
      <rPr>
        <sz val="9"/>
        <rFont val="宋体"/>
        <family val="0"/>
      </rPr>
      <t>′</t>
    </r>
    <r>
      <rPr>
        <sz val="9"/>
        <rFont val="Times New Roman"/>
        <family val="1"/>
      </rPr>
      <t>663</t>
    </r>
    <r>
      <rPr>
        <sz val="9"/>
        <rFont val="宋体"/>
        <family val="0"/>
      </rPr>
      <t>″</t>
    </r>
  </si>
  <si>
    <r>
      <t>E116°33</t>
    </r>
    <r>
      <rPr>
        <sz val="9"/>
        <rFont val="宋体"/>
        <family val="0"/>
      </rPr>
      <t>′</t>
    </r>
    <r>
      <rPr>
        <sz val="9"/>
        <rFont val="Times New Roman"/>
        <family val="1"/>
      </rPr>
      <t>000</t>
    </r>
    <r>
      <rPr>
        <sz val="9"/>
        <rFont val="宋体"/>
        <family val="0"/>
      </rPr>
      <t>″</t>
    </r>
  </si>
  <si>
    <r>
      <t>R</t>
    </r>
    <r>
      <rPr>
        <sz val="9"/>
        <rFont val="宋体"/>
        <family val="0"/>
      </rPr>
      <t>DLSEA</t>
    </r>
  </si>
  <si>
    <r>
      <t xml:space="preserve">             denotation</t>
    </r>
    <r>
      <rPr>
        <sz val="10"/>
        <rFont val="宋体"/>
        <family val="0"/>
      </rPr>
      <t>：</t>
    </r>
    <r>
      <rPr>
        <sz val="10"/>
        <rFont val="Times New Roman"/>
        <family val="1"/>
      </rPr>
      <t xml:space="preserve">    Divide the colony to AF</t>
    </r>
    <r>
      <rPr>
        <sz val="10"/>
        <rFont val="宋体"/>
        <family val="0"/>
      </rPr>
      <t>（</t>
    </r>
    <r>
      <rPr>
        <sz val="10"/>
        <rFont val="Times New Roman"/>
        <family val="1"/>
      </rPr>
      <t>1</t>
    </r>
    <r>
      <rPr>
        <sz val="10"/>
        <rFont val="宋体"/>
        <family val="0"/>
      </rPr>
      <t>）——</t>
    </r>
    <r>
      <rPr>
        <sz val="10"/>
        <rFont val="Times New Roman"/>
        <family val="1"/>
      </rPr>
      <t>AF</t>
    </r>
    <r>
      <rPr>
        <sz val="10"/>
        <rFont val="宋体"/>
        <family val="0"/>
      </rPr>
      <t>（</t>
    </r>
    <r>
      <rPr>
        <sz val="10"/>
        <rFont val="Times New Roman"/>
        <family val="1"/>
      </rPr>
      <t>10</t>
    </r>
    <r>
      <rPr>
        <sz val="10"/>
        <rFont val="宋体"/>
        <family val="0"/>
      </rPr>
      <t>）</t>
    </r>
    <r>
      <rPr>
        <sz val="10"/>
        <rFont val="Times New Roman"/>
        <family val="1"/>
      </rPr>
      <t xml:space="preserve"> 10 layers</t>
    </r>
    <r>
      <rPr>
        <sz val="10"/>
        <rFont val="宋体"/>
        <family val="0"/>
      </rPr>
      <t>，</t>
    </r>
    <r>
      <rPr>
        <sz val="10"/>
        <rFont val="Times New Roman"/>
        <family val="1"/>
      </rPr>
      <t xml:space="preserve">The height to earth surface for each layer is </t>
    </r>
    <r>
      <rPr>
        <sz val="10"/>
        <rFont val="Times New Roman"/>
        <family val="1"/>
      </rPr>
      <t>10cm</t>
    </r>
    <r>
      <rPr>
        <sz val="10"/>
        <rFont val="宋体"/>
        <family val="0"/>
      </rPr>
      <t>、</t>
    </r>
    <r>
      <rPr>
        <sz val="10"/>
        <rFont val="Times New Roman"/>
        <family val="1"/>
      </rPr>
      <t>15cm</t>
    </r>
    <r>
      <rPr>
        <sz val="10"/>
        <rFont val="宋体"/>
        <family val="0"/>
      </rPr>
      <t>、</t>
    </r>
    <r>
      <rPr>
        <sz val="10"/>
        <rFont val="Times New Roman"/>
        <family val="1"/>
      </rPr>
      <t>20cm</t>
    </r>
    <r>
      <rPr>
        <sz val="10"/>
        <rFont val="宋体"/>
        <family val="0"/>
      </rPr>
      <t>、</t>
    </r>
    <r>
      <rPr>
        <sz val="10"/>
        <rFont val="Times New Roman"/>
        <family val="1"/>
      </rPr>
      <t>25cm</t>
    </r>
    <r>
      <rPr>
        <sz val="10"/>
        <rFont val="宋体"/>
        <family val="0"/>
      </rPr>
      <t>、</t>
    </r>
    <r>
      <rPr>
        <sz val="10"/>
        <rFont val="Times New Roman"/>
        <family val="1"/>
      </rPr>
      <t>30cm</t>
    </r>
    <r>
      <rPr>
        <sz val="10"/>
        <rFont val="宋体"/>
        <family val="0"/>
      </rPr>
      <t>、</t>
    </r>
    <r>
      <rPr>
        <sz val="10"/>
        <rFont val="Times New Roman"/>
        <family val="1"/>
      </rPr>
      <t>40cm</t>
    </r>
    <r>
      <rPr>
        <sz val="10"/>
        <rFont val="宋体"/>
        <family val="0"/>
      </rPr>
      <t>、</t>
    </r>
    <r>
      <rPr>
        <sz val="10"/>
        <rFont val="Times New Roman"/>
        <family val="1"/>
      </rPr>
      <t>50cm</t>
    </r>
    <r>
      <rPr>
        <sz val="10"/>
        <rFont val="宋体"/>
        <family val="0"/>
      </rPr>
      <t>、</t>
    </r>
    <r>
      <rPr>
        <sz val="10"/>
        <rFont val="Times New Roman"/>
        <family val="1"/>
      </rPr>
      <t>60cm</t>
    </r>
    <r>
      <rPr>
        <sz val="10"/>
        <rFont val="宋体"/>
        <family val="0"/>
      </rPr>
      <t>、</t>
    </r>
    <r>
      <rPr>
        <sz val="10"/>
        <rFont val="Times New Roman"/>
        <family val="1"/>
      </rPr>
      <t>70cm</t>
    </r>
  </si>
  <si>
    <r>
      <t xml:space="preserve">                   the leaf area sum of each layer</t>
    </r>
    <r>
      <rPr>
        <sz val="10"/>
        <rFont val="宋体"/>
        <family val="0"/>
      </rPr>
      <t>、</t>
    </r>
    <r>
      <rPr>
        <sz val="10"/>
        <rFont val="Times New Roman"/>
        <family val="1"/>
      </rPr>
      <t xml:space="preserve">the average leaf inclination of each layer </t>
    </r>
    <r>
      <rPr>
        <sz val="10"/>
        <rFont val="宋体"/>
        <family val="0"/>
      </rPr>
      <t>、</t>
    </r>
    <r>
      <rPr>
        <sz val="10"/>
        <rFont val="Times New Roman"/>
        <family val="1"/>
      </rPr>
      <t>the sum of stem area of each layer</t>
    </r>
    <r>
      <rPr>
        <sz val="10"/>
        <rFont val="宋体"/>
        <family val="0"/>
      </rPr>
      <t>、</t>
    </r>
    <r>
      <rPr>
        <sz val="10"/>
        <rFont val="Times New Roman"/>
        <family val="1"/>
      </rPr>
      <t>the area sum for all of the component of each layer</t>
    </r>
    <r>
      <rPr>
        <sz val="10"/>
        <rFont val="宋体"/>
        <family val="0"/>
      </rPr>
      <t>、</t>
    </r>
    <r>
      <rPr>
        <sz val="10"/>
        <rFont val="Times New Roman"/>
        <family val="1"/>
      </rPr>
      <t xml:space="preserve"> the leaf area for each leaf inclination interval</t>
    </r>
    <r>
      <rPr>
        <sz val="10"/>
        <rFont val="宋体"/>
        <family val="0"/>
      </rPr>
      <t>、</t>
    </r>
    <r>
      <rPr>
        <sz val="10"/>
        <rFont val="Times New Roman"/>
        <family val="1"/>
      </rPr>
      <t>the stem area of each leaf inclination interval is the average for the different breed.</t>
    </r>
  </si>
  <si>
    <t>the angular intervla if 5 degree:</t>
  </si>
  <si>
    <t>block</t>
  </si>
  <si>
    <t>stem number</t>
  </si>
  <si>
    <t>stem inclination</t>
  </si>
  <si>
    <t>the distance of leaf basement</t>
  </si>
  <si>
    <t>stem wide</t>
  </si>
  <si>
    <t>breed</t>
  </si>
  <si>
    <t>breed name</t>
  </si>
  <si>
    <t>date</t>
  </si>
  <si>
    <t>the average height of colony</t>
  </si>
  <si>
    <t>main stem 1</t>
  </si>
  <si>
    <t>main stem 3</t>
  </si>
  <si>
    <t>main stem 4</t>
  </si>
  <si>
    <t>main stem 5</t>
  </si>
  <si>
    <t>main stem 6</t>
  </si>
  <si>
    <t>main stem 7</t>
  </si>
  <si>
    <t>the sum of leaf area of each layer</t>
  </si>
  <si>
    <t>the leaf area sum of each layer/total leaf area sum of colony</t>
  </si>
  <si>
    <t>the area weighted average leaf inclination of each layer</t>
  </si>
  <si>
    <t>the average leaf inclination of each layer</t>
  </si>
  <si>
    <t>the sum of stem area of each layer</t>
  </si>
  <si>
    <t>the stem area sum of each layer/the total stem area of colony</t>
  </si>
  <si>
    <t>the ear area sum of each layer</t>
  </si>
  <si>
    <r>
      <t>the ear area sum of each layer</t>
    </r>
    <r>
      <rPr>
        <sz val="9"/>
        <color indexed="10"/>
        <rFont val="宋体"/>
        <family val="0"/>
      </rPr>
      <t>/total ear area of colony</t>
    </r>
  </si>
  <si>
    <t>the area sum of all components in each layer</t>
  </si>
  <si>
    <t>the total area sum of all components in each layer/ the total area sum of colony</t>
  </si>
  <si>
    <t>the leaf area sum in each leaf inclination interval</t>
  </si>
  <si>
    <t>the stem area sum in each leaf inclination</t>
  </si>
  <si>
    <t>the sum of leaf and stem area in each leaf inclination interval</t>
  </si>
  <si>
    <t>the ear area sum in each leaf inclination interval</t>
  </si>
  <si>
    <t>the sum of leaf, ear and stem area in each leaf inclination interval</t>
  </si>
  <si>
    <r>
      <t xml:space="preserve">the leaf area sum in each LI interval/the leaf area of leaf colony(set as </t>
    </r>
    <r>
      <rPr>
        <sz val="9"/>
        <rFont val="宋体"/>
        <family val="0"/>
      </rPr>
      <t>gLi）</t>
    </r>
  </si>
  <si>
    <r>
      <t>the stem area sum in each LI interval</t>
    </r>
    <r>
      <rPr>
        <sz val="9"/>
        <rFont val="宋体"/>
        <family val="0"/>
      </rPr>
      <t>/the total stem area of colony（set as gSi）</t>
    </r>
  </si>
  <si>
    <r>
      <t>the sum of leaf and stem area in each LI interval</t>
    </r>
    <r>
      <rPr>
        <sz val="9"/>
        <rFont val="宋体"/>
        <family val="0"/>
      </rPr>
      <t>/the sum of leaf and stem area in whole colony（set as gEi）</t>
    </r>
  </si>
  <si>
    <r>
      <t xml:space="preserve">the sum of each </t>
    </r>
    <r>
      <rPr>
        <sz val="9"/>
        <rFont val="宋体"/>
        <family val="0"/>
      </rPr>
      <t>gLi</t>
    </r>
  </si>
  <si>
    <t>gLiadd gSi and gEi for each LI interval</t>
  </si>
  <si>
    <r>
      <t xml:space="preserve">the product ot </t>
    </r>
    <r>
      <rPr>
        <sz val="9"/>
        <rFont val="宋体"/>
        <family val="0"/>
      </rPr>
      <t>gLi adding gSi for each LI interval</t>
    </r>
  </si>
  <si>
    <t>LI=leaf inclination</t>
  </si>
  <si>
    <t>Attention: the angle is Leaf Inclination(LI)</t>
  </si>
  <si>
    <t>total area for whole colony</t>
  </si>
  <si>
    <r>
      <t>each component divide by LI</t>
    </r>
    <r>
      <rPr>
        <sz val="9"/>
        <rFont val="宋体"/>
        <family val="0"/>
      </rPr>
      <t>，5 degree for each interval，18 intervals in total</t>
    </r>
  </si>
  <si>
    <t>the sum of each component area</t>
  </si>
  <si>
    <t>the area sum of each component</t>
  </si>
  <si>
    <t>C4-west</t>
  </si>
  <si>
    <t>main stem 3</t>
  </si>
  <si>
    <t>main stem 4</t>
  </si>
  <si>
    <r>
      <t>divide the whole colony to 10 layers</t>
    </r>
    <r>
      <rPr>
        <sz val="9"/>
        <rFont val="宋体"/>
        <family val="0"/>
      </rPr>
      <t>，</t>
    </r>
    <r>
      <rPr>
        <sz val="9"/>
        <rFont val="Times New Roman"/>
        <family val="1"/>
      </rPr>
      <t>AF(1)the first layer for bottom</t>
    </r>
  </si>
  <si>
    <t>total area sum for all of the components in the colony</t>
  </si>
  <si>
    <t xml:space="preserve">the area sum of all of the  components </t>
  </si>
  <si>
    <t>jing411</t>
  </si>
  <si>
    <t>the numbers of leaf</t>
  </si>
  <si>
    <t>main stem 1</t>
  </si>
  <si>
    <t>NW1-east</t>
  </si>
  <si>
    <t>NW1-west</t>
  </si>
  <si>
    <t>main stem 2</t>
  </si>
  <si>
    <t>NW4-west-2</t>
  </si>
  <si>
    <t>NW4-east-2</t>
  </si>
  <si>
    <t>NW4-west-1</t>
  </si>
  <si>
    <t>main stem 5</t>
  </si>
  <si>
    <t>main stem 7</t>
  </si>
  <si>
    <t>main stem 8</t>
  </si>
  <si>
    <t>main stem 9</t>
  </si>
  <si>
    <t>main stem 10</t>
  </si>
  <si>
    <t>NW4-middle-1</t>
  </si>
  <si>
    <t>main stem 11</t>
  </si>
  <si>
    <t>main stem 12</t>
  </si>
  <si>
    <t>main stem 13</t>
  </si>
  <si>
    <t>main stem 14</t>
  </si>
  <si>
    <t>main stem 15</t>
  </si>
  <si>
    <t>main stem 16</t>
  </si>
  <si>
    <t>main stem 17</t>
  </si>
  <si>
    <t>main stem 18</t>
  </si>
  <si>
    <t>NW4-middle-2</t>
  </si>
  <si>
    <t>NW4-east-1</t>
  </si>
  <si>
    <t>order of leaf</t>
  </si>
  <si>
    <t>69 hole</t>
  </si>
  <si>
    <t>C3-east</t>
  </si>
  <si>
    <t>main stem 6</t>
  </si>
  <si>
    <t>mian stem 6</t>
  </si>
  <si>
    <t>jing 411</t>
  </si>
  <si>
    <t>the order of leaf</t>
  </si>
  <si>
    <t>main stem 4</t>
  </si>
  <si>
    <t>mian stem 1</t>
  </si>
  <si>
    <t>C4-east</t>
  </si>
  <si>
    <t>C4-west</t>
  </si>
  <si>
    <t>mian stem 5</t>
  </si>
  <si>
    <t>dishevelled serious</t>
  </si>
  <si>
    <t xml:space="preserve">jing 411 </t>
  </si>
  <si>
    <t>40 holes</t>
  </si>
  <si>
    <t>33 hole</t>
  </si>
  <si>
    <t>32hole</t>
  </si>
  <si>
    <t>25hole</t>
  </si>
  <si>
    <t>41hole</t>
  </si>
  <si>
    <t>40hole</t>
  </si>
  <si>
    <t>33hole</t>
  </si>
  <si>
    <t>main stem3</t>
  </si>
  <si>
    <t>main stem4</t>
  </si>
  <si>
    <t>main stem5</t>
  </si>
  <si>
    <t>main stem2</t>
  </si>
  <si>
    <r>
      <t>６８</t>
    </r>
    <r>
      <rPr>
        <sz val="9"/>
        <rFont val="Times New Roman"/>
        <family val="1"/>
      </rPr>
      <t>hole</t>
    </r>
  </si>
  <si>
    <t>C3-west</t>
  </si>
  <si>
    <t>C3-middle</t>
  </si>
  <si>
    <r>
      <t>(68 hole</t>
    </r>
    <r>
      <rPr>
        <sz val="9"/>
        <rFont val="宋体"/>
        <family val="0"/>
      </rPr>
      <t>）</t>
    </r>
  </si>
  <si>
    <t>stem or tiller number</t>
  </si>
  <si>
    <t>middle tiller 2</t>
  </si>
  <si>
    <t>middle tiller 3</t>
  </si>
  <si>
    <t>middle tiller 4</t>
  </si>
  <si>
    <t>middle tiller 1</t>
  </si>
  <si>
    <t>middle tiller 5</t>
  </si>
  <si>
    <t>middle tiller 6</t>
  </si>
  <si>
    <t>middle tiller 7</t>
  </si>
  <si>
    <t>middle tiller 8</t>
  </si>
  <si>
    <t>middle tiller 9</t>
  </si>
  <si>
    <t>middle tiller 10</t>
  </si>
  <si>
    <t>middle tiller 11</t>
  </si>
  <si>
    <t>middle tiller 1</t>
  </si>
  <si>
    <t>middle tiller 4</t>
  </si>
  <si>
    <t>middle tiller 3</t>
  </si>
  <si>
    <r>
      <t xml:space="preserve">         2</t>
    </r>
    <r>
      <rPr>
        <sz val="9"/>
        <rFont val="宋体"/>
        <family val="0"/>
      </rPr>
      <t>：</t>
    </r>
    <r>
      <rPr>
        <sz val="9"/>
        <rFont val="Times New Roman"/>
        <family val="1"/>
      </rPr>
      <t xml:space="preserve"> divide the wheat colony to main stem, bottom tiller, middle tiller, high tiller</t>
    </r>
  </si>
  <si>
    <r>
      <t xml:space="preserve">                     main stem</t>
    </r>
    <r>
      <rPr>
        <sz val="9"/>
        <rFont val="宋体"/>
        <family val="0"/>
      </rPr>
      <t>——</t>
    </r>
    <r>
      <rPr>
        <sz val="9"/>
        <rFont val="Times New Roman"/>
        <family val="1"/>
      </rPr>
      <t>is the stem shoot up from seed</t>
    </r>
    <r>
      <rPr>
        <sz val="9"/>
        <rFont val="宋体"/>
        <family val="0"/>
      </rPr>
      <t>；</t>
    </r>
  </si>
  <si>
    <t xml:space="preserve">                    bottom tiller ——the bigger tiller breed up for the main stem in primary stage, most of them could be tassel</t>
  </si>
  <si>
    <r>
      <t xml:space="preserve">                    middle tiller</t>
    </r>
    <r>
      <rPr>
        <sz val="9"/>
        <rFont val="宋体"/>
        <family val="0"/>
      </rPr>
      <t>——</t>
    </r>
    <r>
      <rPr>
        <sz val="9"/>
        <rFont val="Times New Roman"/>
        <family val="1"/>
      </rPr>
      <t>the tiller breed up from the main stem in middle stage, tassel or not decided by the variety and fertility and irrigation condition</t>
    </r>
  </si>
  <si>
    <t xml:space="preserve">                     top tiller——the tiller breed up from the main stem or from the primary stage tiller, most of them could not tassel,but could tassel if it has good fertilizer and irrigating condition and good sunlit</t>
  </si>
  <si>
    <t>bottom tiller2</t>
  </si>
  <si>
    <t>bottom level tiller 3</t>
  </si>
  <si>
    <t>bottom level tiller 4</t>
  </si>
  <si>
    <t>bottom tiller 5</t>
  </si>
  <si>
    <t>bottom tiller 1</t>
  </si>
  <si>
    <t>bottom tiller 9</t>
  </si>
  <si>
    <t>bottom tiller 10</t>
  </si>
  <si>
    <t>bottom tiller 11</t>
  </si>
  <si>
    <t>bottom tiller 2</t>
  </si>
  <si>
    <t>bottom tiller 3</t>
  </si>
  <si>
    <t>bottom tiller 4</t>
  </si>
  <si>
    <t>top tiller 1</t>
  </si>
  <si>
    <t>top tiller 2</t>
  </si>
  <si>
    <t>top tiller 4</t>
  </si>
  <si>
    <t>top tiller 3</t>
  </si>
  <si>
    <t>top tiller 5</t>
  </si>
  <si>
    <t>top tiller 6</t>
  </si>
  <si>
    <t>top tiller 7</t>
  </si>
  <si>
    <t>top level tiller 1</t>
  </si>
  <si>
    <t>top level tiller 2</t>
  </si>
  <si>
    <t>stem wide(cm)</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</si>
</sst>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_ "/>
    <numFmt numFmtId="185" formatCode="0.0000_ "/>
    <numFmt numFmtId="186" formatCode="0.0000_);[Red]\(0.0000\)"/>
    <numFmt numFmtId="187" formatCode="0.00_ "/>
    <numFmt numFmtId="188" formatCode="0.000_);[Red]\(0.000\)"/>
    <numFmt numFmtId="189" formatCode="0_ "/>
    <numFmt numFmtId="190" formatCode="0.00000_ "/>
    <numFmt numFmtId="191" formatCode="m/d"/>
    <numFmt numFmtId="192" formatCode="\5\-\10"/>
    <numFmt numFmtId="193" formatCode="\1\-\10"/>
    <numFmt numFmtId="194" formatCode="\10\-\20"/>
  </numFmts>
  <fonts count="9">
    <font>
      <sz val="12"/>
      <name val="宋体"/>
      <family val="0"/>
    </font>
    <font>
      <sz val="9"/>
      <name val="宋体"/>
      <family val="0"/>
    </font>
    <font>
      <sz val="9"/>
      <name val="Times New Roman"/>
      <family val="1"/>
    </font>
    <font>
      <sz val="9"/>
      <color indexed="10"/>
      <name val="宋体"/>
      <family val="0"/>
    </font>
    <font>
      <sz val="10"/>
      <name val="Times New Roman"/>
      <family val="1"/>
    </font>
    <font>
      <sz val="10"/>
      <name val="宋体"/>
      <family val="0"/>
    </font>
    <font>
      <u val="single"/>
      <sz val="12"/>
      <color indexed="12"/>
      <name val="宋体"/>
      <family val="0"/>
    </font>
    <font>
      <u val="single"/>
      <sz val="12"/>
      <color indexed="36"/>
      <name val="宋体"/>
      <family val="0"/>
    </font>
    <font>
      <sz val="9"/>
      <color indexed="10"/>
      <name val="Times New Roman"/>
      <family val="1"/>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8">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1" fillId="0" borderId="0" xfId="0" applyFont="1" applyFill="1" applyAlignment="1">
      <alignment/>
    </xf>
    <xf numFmtId="0" fontId="2" fillId="0" borderId="0" xfId="0" applyFont="1" applyAlignment="1">
      <alignment horizontal="center" shrinkToFit="1"/>
    </xf>
    <xf numFmtId="0" fontId="1" fillId="0" borderId="0" xfId="0" applyFont="1" applyAlignment="1">
      <alignment horizontal="center" shrinkToFit="1"/>
    </xf>
    <xf numFmtId="14" fontId="1" fillId="0" borderId="0" xfId="0" applyNumberFormat="1" applyFont="1" applyFill="1" applyAlignment="1">
      <alignment/>
    </xf>
    <xf numFmtId="191" fontId="1" fillId="0" borderId="0" xfId="0" applyNumberFormat="1" applyFont="1" applyFill="1" applyAlignment="1">
      <alignment/>
    </xf>
    <xf numFmtId="58" fontId="1" fillId="0" borderId="0" xfId="0" applyNumberFormat="1" applyFont="1" applyFill="1" applyAlignment="1">
      <alignment/>
    </xf>
    <xf numFmtId="0" fontId="2" fillId="0" borderId="0" xfId="0" applyFont="1" applyFill="1" applyAlignment="1">
      <alignment/>
    </xf>
    <xf numFmtId="0" fontId="1" fillId="0" borderId="0" xfId="0" applyFont="1" applyFill="1" applyAlignment="1">
      <alignment horizontal="left"/>
    </xf>
    <xf numFmtId="0" fontId="1" fillId="0" borderId="0" xfId="0" applyFont="1" applyAlignment="1">
      <alignment horizontal="left"/>
    </xf>
    <xf numFmtId="0" fontId="3" fillId="0" borderId="0" xfId="0" applyFont="1" applyAlignment="1">
      <alignment horizontal="left"/>
    </xf>
    <xf numFmtId="58" fontId="2" fillId="0" borderId="0" xfId="0" applyNumberFormat="1" applyFont="1" applyAlignment="1">
      <alignment/>
    </xf>
    <xf numFmtId="0" fontId="2" fillId="0" borderId="0" xfId="0" applyFont="1" applyAlignment="1">
      <alignment horizontal="left"/>
    </xf>
    <xf numFmtId="0" fontId="2" fillId="0" borderId="0" xfId="0" applyFont="1" applyFill="1" applyAlignment="1">
      <alignment horizontal="center"/>
    </xf>
    <xf numFmtId="0" fontId="1" fillId="0" borderId="0" xfId="0" applyFont="1" applyFill="1" applyAlignment="1">
      <alignment/>
    </xf>
    <xf numFmtId="0" fontId="5" fillId="0" borderId="0" xfId="0" applyFont="1" applyAlignment="1">
      <alignment/>
    </xf>
    <xf numFmtId="0" fontId="2" fillId="0" borderId="0" xfId="0" applyFont="1" applyAlignment="1">
      <alignment horizontal="center" wrapText="1"/>
    </xf>
    <xf numFmtId="0" fontId="8" fillId="0" borderId="0" xfId="0" applyFont="1" applyAlignment="1">
      <alignment/>
    </xf>
    <xf numFmtId="0" fontId="4" fillId="0" borderId="0" xfId="0" applyFont="1" applyAlignment="1">
      <alignment/>
    </xf>
    <xf numFmtId="0" fontId="5" fillId="0" borderId="0" xfId="0" applyFont="1" applyAlignment="1">
      <alignment/>
    </xf>
    <xf numFmtId="0" fontId="2" fillId="0" borderId="0" xfId="0" applyFont="1" applyFill="1" applyAlignment="1">
      <alignment/>
    </xf>
    <xf numFmtId="0" fontId="0" fillId="0" borderId="0" xfId="0" applyAlignment="1">
      <alignment/>
    </xf>
    <xf numFmtId="0" fontId="2" fillId="0" borderId="0" xfId="0" applyFont="1" applyAlignment="1">
      <alignment horizontal="left" shrinkToFit="1"/>
    </xf>
    <xf numFmtId="0" fontId="1" fillId="0" borderId="0" xfId="0" applyFont="1" applyAlignment="1">
      <alignment horizontal="left" shrinkToFit="1"/>
    </xf>
    <xf numFmtId="0" fontId="2" fillId="0" borderId="0" xfId="0" applyFont="1" applyAlignment="1">
      <alignment horizontal="center" shrinkToFit="1"/>
    </xf>
    <xf numFmtId="0" fontId="1" fillId="0" borderId="0" xfId="0" applyFont="1" applyAlignment="1">
      <alignment horizontal="center" shrinkToFit="1"/>
    </xf>
    <xf numFmtId="0" fontId="2" fillId="0" borderId="0" xfId="0" applyFont="1" applyAlignment="1">
      <alignment horizontal="center"/>
    </xf>
    <xf numFmtId="0" fontId="1" fillId="0" borderId="0" xfId="0" applyFont="1" applyAlignment="1">
      <alignment horizontal="center"/>
    </xf>
    <xf numFmtId="184" fontId="2" fillId="0" borderId="0" xfId="0" applyNumberFormat="1" applyFont="1" applyAlignment="1">
      <alignment/>
    </xf>
    <xf numFmtId="0" fontId="1" fillId="0" borderId="0" xfId="0" applyFont="1" applyAlignment="1">
      <alignment/>
    </xf>
    <xf numFmtId="0" fontId="2" fillId="0" borderId="0" xfId="0" applyFont="1" applyAlignment="1">
      <alignment/>
    </xf>
    <xf numFmtId="0" fontId="2" fillId="0" borderId="0" xfId="0" applyFont="1" applyFill="1" applyBorder="1" applyAlignment="1">
      <alignment/>
    </xf>
  </cellXfs>
  <cellStyles count="8">
    <cellStyle name="Normal" xfId="0"/>
    <cellStyle name="Percent" xfId="15"/>
    <cellStyle name="Hyperlink" xfId="16"/>
    <cellStyle name="Followed Hyperlink"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9"/>
  <sheetViews>
    <sheetView workbookViewId="0" topLeftCell="A1">
      <selection activeCell="B13" sqref="B13"/>
    </sheetView>
  </sheetViews>
  <sheetFormatPr defaultColWidth="9.00390625" defaultRowHeight="14.25"/>
  <cols>
    <col min="1" max="1" width="9.00390625" style="21" customWidth="1"/>
    <col min="2" max="2" width="13.00390625" style="21" customWidth="1"/>
    <col min="3" max="16384" width="9.00390625" style="21" customWidth="1"/>
  </cols>
  <sheetData>
    <row r="1" s="25" customFormat="1" ht="12.75">
      <c r="A1" s="24" t="s">
        <v>192</v>
      </c>
    </row>
    <row r="2" s="27" customFormat="1" ht="15">
      <c r="A2" s="24" t="s">
        <v>193</v>
      </c>
    </row>
    <row r="3" spans="1:20" ht="15">
      <c r="A3" s="26" t="s">
        <v>194</v>
      </c>
      <c r="B3" s="27"/>
      <c r="C3" s="7" t="s">
        <v>47</v>
      </c>
      <c r="D3" s="11">
        <v>37021</v>
      </c>
      <c r="E3" s="11">
        <v>37179</v>
      </c>
      <c r="F3" s="7" t="s">
        <v>48</v>
      </c>
      <c r="G3" s="7" t="s">
        <v>49</v>
      </c>
      <c r="H3" s="7" t="s">
        <v>50</v>
      </c>
      <c r="I3" s="7" t="s">
        <v>51</v>
      </c>
      <c r="J3" s="7" t="s">
        <v>52</v>
      </c>
      <c r="K3" s="7" t="s">
        <v>53</v>
      </c>
      <c r="L3" s="7" t="s">
        <v>54</v>
      </c>
      <c r="M3" s="7" t="s">
        <v>55</v>
      </c>
      <c r="N3" s="7" t="s">
        <v>56</v>
      </c>
      <c r="O3" s="7" t="s">
        <v>57</v>
      </c>
      <c r="P3" s="7" t="s">
        <v>58</v>
      </c>
      <c r="Q3" s="7" t="s">
        <v>59</v>
      </c>
      <c r="R3" s="7" t="s">
        <v>60</v>
      </c>
      <c r="S3" s="7" t="s">
        <v>61</v>
      </c>
      <c r="T3" s="7" t="s">
        <v>62</v>
      </c>
    </row>
    <row r="5" s="35" customFormat="1" ht="12">
      <c r="A5" s="34" t="s">
        <v>312</v>
      </c>
    </row>
    <row r="6" s="35" customFormat="1" ht="12">
      <c r="A6" s="36" t="s">
        <v>313</v>
      </c>
    </row>
    <row r="7" s="35" customFormat="1" ht="12">
      <c r="A7" s="36" t="s">
        <v>314</v>
      </c>
    </row>
    <row r="8" s="35" customFormat="1" ht="12">
      <c r="A8" s="36" t="s">
        <v>315</v>
      </c>
    </row>
    <row r="9" s="37" customFormat="1" ht="12">
      <c r="A9" s="37" t="s">
        <v>316</v>
      </c>
    </row>
  </sheetData>
  <mergeCells count="8">
    <mergeCell ref="A6:IV6"/>
    <mergeCell ref="A7:IV7"/>
    <mergeCell ref="A8:IV8"/>
    <mergeCell ref="A9:IV9"/>
    <mergeCell ref="A1:IV1"/>
    <mergeCell ref="A3:B3"/>
    <mergeCell ref="A2:IV2"/>
    <mergeCell ref="A5:IV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F189"/>
  <sheetViews>
    <sheetView workbookViewId="0" topLeftCell="A1">
      <pane xSplit="5" ySplit="1" topLeftCell="F30" activePane="bottomRight" state="frozen"/>
      <selection pane="topLeft" activeCell="A1" sqref="A1"/>
      <selection pane="topRight" activeCell="D1" sqref="D1"/>
      <selection pane="bottomLeft" activeCell="A2" sqref="A2"/>
      <selection pane="bottomRight" activeCell="C34" sqref="C34"/>
    </sheetView>
  </sheetViews>
  <sheetFormatPr defaultColWidth="9.00390625" defaultRowHeight="14.25"/>
  <cols>
    <col min="1" max="1" width="5.75390625" style="1" customWidth="1"/>
    <col min="2" max="5" width="5.625" style="1" customWidth="1"/>
    <col min="6" max="6" width="6.25390625" style="0" customWidth="1"/>
    <col min="7" max="7" width="4.50390625" style="1" customWidth="1"/>
    <col min="8" max="8" width="4.875" style="3" customWidth="1"/>
    <col min="9" max="9" width="7.75390625" style="3" customWidth="1"/>
    <col min="10" max="10" width="4.875" style="3" customWidth="1"/>
    <col min="11" max="11" width="11.625" style="3" customWidth="1"/>
    <col min="12" max="33" width="4.875" style="3" customWidth="1"/>
    <col min="34" max="180" width="6.00390625" style="3" customWidth="1"/>
    <col min="181" max="16384" width="5.625" style="1" customWidth="1"/>
  </cols>
  <sheetData>
    <row r="1" spans="1:7" ht="24">
      <c r="A1" s="18" t="s">
        <v>195</v>
      </c>
      <c r="B1" s="22" t="s">
        <v>196</v>
      </c>
      <c r="C1" s="19" t="s">
        <v>197</v>
      </c>
      <c r="D1" s="19" t="s">
        <v>199</v>
      </c>
      <c r="E1" s="2" t="s">
        <v>198</v>
      </c>
      <c r="F1" s="3"/>
      <c r="G1" s="3"/>
    </row>
    <row r="3" spans="1:32" ht="15">
      <c r="A3" s="2" t="s">
        <v>1</v>
      </c>
      <c r="B3" s="2" t="s">
        <v>245</v>
      </c>
      <c r="C3" s="1">
        <v>90</v>
      </c>
      <c r="D3" s="1">
        <v>0.51</v>
      </c>
      <c r="E3" s="1">
        <v>4.5</v>
      </c>
      <c r="H3" s="1"/>
      <c r="I3" s="1"/>
      <c r="J3" s="1"/>
      <c r="K3" s="1"/>
      <c r="L3" s="1"/>
      <c r="M3" s="1"/>
      <c r="N3" s="1"/>
      <c r="O3" s="1"/>
      <c r="P3" s="1"/>
      <c r="Q3" s="1"/>
      <c r="R3" s="1"/>
      <c r="S3" s="1"/>
      <c r="T3" s="1"/>
      <c r="U3" s="1"/>
      <c r="V3" s="1"/>
      <c r="W3" s="1"/>
      <c r="X3" s="1"/>
      <c r="Y3" s="1"/>
      <c r="Z3" s="1"/>
      <c r="AA3" s="1"/>
      <c r="AB3" s="1"/>
      <c r="AC3" s="1"/>
      <c r="AD3" s="1"/>
      <c r="AE3" s="1"/>
      <c r="AF3" s="1"/>
    </row>
    <row r="4" spans="1:32" ht="15">
      <c r="A4" s="30" t="s">
        <v>154</v>
      </c>
      <c r="B4" s="31"/>
      <c r="C4" s="9"/>
      <c r="D4" s="9"/>
      <c r="E4" s="1">
        <v>10.4</v>
      </c>
      <c r="H4" s="7"/>
      <c r="I4" s="7"/>
      <c r="J4" s="7"/>
      <c r="K4" s="7"/>
      <c r="L4" s="7"/>
      <c r="M4" s="7"/>
      <c r="N4" s="7"/>
      <c r="O4" s="7"/>
      <c r="P4" s="7"/>
      <c r="Q4" s="7"/>
      <c r="R4" s="7"/>
      <c r="S4" s="7"/>
      <c r="T4" s="7"/>
      <c r="U4" s="7"/>
      <c r="V4" s="7"/>
      <c r="W4" s="7"/>
      <c r="X4" s="7"/>
      <c r="Y4" s="7"/>
      <c r="Z4" s="7"/>
      <c r="AA4" s="7"/>
      <c r="AB4" s="7"/>
      <c r="AC4" s="7"/>
      <c r="AD4" s="7"/>
      <c r="AE4" s="7"/>
      <c r="AF4" s="7"/>
    </row>
    <row r="5" spans="1:32" ht="15">
      <c r="A5" s="30" t="s">
        <v>155</v>
      </c>
      <c r="B5" s="31"/>
      <c r="C5" s="9"/>
      <c r="D5" s="9"/>
      <c r="E5" s="1">
        <v>17.8</v>
      </c>
      <c r="H5" s="7"/>
      <c r="I5" s="7"/>
      <c r="J5" s="7"/>
      <c r="K5" s="7"/>
      <c r="L5" s="7"/>
      <c r="M5" s="7"/>
      <c r="N5" s="7"/>
      <c r="O5" s="7"/>
      <c r="P5" s="7"/>
      <c r="Q5" s="7"/>
      <c r="R5" s="7"/>
      <c r="S5" s="7"/>
      <c r="T5" s="7"/>
      <c r="U5" s="7"/>
      <c r="V5" s="7"/>
      <c r="W5" s="7"/>
      <c r="X5" s="7"/>
      <c r="Y5" s="7"/>
      <c r="Z5" s="7"/>
      <c r="AA5" s="7"/>
      <c r="AB5" s="7"/>
      <c r="AC5" s="7"/>
      <c r="AD5" s="7"/>
      <c r="AE5" s="7"/>
      <c r="AF5" s="7"/>
    </row>
    <row r="6" spans="5:32" ht="14.25">
      <c r="E6" s="1">
        <v>31.5</v>
      </c>
      <c r="H6" s="7"/>
      <c r="I6" s="7" t="s">
        <v>74</v>
      </c>
      <c r="J6" s="7">
        <v>9428</v>
      </c>
      <c r="K6" s="7"/>
      <c r="L6" s="7"/>
      <c r="M6" s="7"/>
      <c r="N6" s="7"/>
      <c r="O6" s="7"/>
      <c r="P6" s="7"/>
      <c r="Q6" s="7"/>
      <c r="R6" s="7"/>
      <c r="S6" s="7"/>
      <c r="T6" s="7"/>
      <c r="U6" s="7"/>
      <c r="V6" s="7"/>
      <c r="W6" s="7"/>
      <c r="X6" s="7"/>
      <c r="Y6" s="7"/>
      <c r="Z6" s="7"/>
      <c r="AA6" s="7"/>
      <c r="AB6" s="7"/>
      <c r="AC6" s="7"/>
      <c r="AD6" s="7"/>
      <c r="AE6" s="7"/>
      <c r="AF6" s="7"/>
    </row>
    <row r="7" spans="5:32" ht="14.25">
      <c r="E7" s="1">
        <v>40</v>
      </c>
      <c r="H7" s="7"/>
      <c r="I7" s="7"/>
      <c r="J7" s="7"/>
      <c r="K7" s="7"/>
      <c r="L7" s="7"/>
      <c r="M7" s="7"/>
      <c r="N7" s="7"/>
      <c r="O7" s="7"/>
      <c r="P7" s="7"/>
      <c r="Q7" s="7"/>
      <c r="R7" s="7"/>
      <c r="S7" s="7"/>
      <c r="T7" s="7"/>
      <c r="U7" s="7"/>
      <c r="V7" s="7"/>
      <c r="W7" s="7"/>
      <c r="X7" s="7"/>
      <c r="Y7" s="7"/>
      <c r="Z7" s="7"/>
      <c r="AA7" s="7"/>
      <c r="AB7" s="7"/>
      <c r="AC7" s="7"/>
      <c r="AD7" s="7"/>
      <c r="AE7" s="7"/>
      <c r="AF7" s="7"/>
    </row>
    <row r="8" spans="2:32" ht="15">
      <c r="B8" s="2" t="s">
        <v>321</v>
      </c>
      <c r="C8" s="1">
        <v>89</v>
      </c>
      <c r="D8" s="1">
        <v>0.5</v>
      </c>
      <c r="E8" s="1">
        <v>4.5</v>
      </c>
      <c r="H8" s="7"/>
      <c r="I8" s="7" t="s">
        <v>42</v>
      </c>
      <c r="J8" s="7" t="s">
        <v>43</v>
      </c>
      <c r="K8" s="7" t="s">
        <v>44</v>
      </c>
      <c r="L8" s="7" t="s">
        <v>45</v>
      </c>
      <c r="M8" s="7"/>
      <c r="N8" s="7"/>
      <c r="O8" s="7"/>
      <c r="P8" s="7"/>
      <c r="Q8" s="7"/>
      <c r="R8" s="7"/>
      <c r="S8" s="7"/>
      <c r="T8" s="7"/>
      <c r="U8" s="7"/>
      <c r="V8" s="7"/>
      <c r="W8" s="7"/>
      <c r="X8" s="7"/>
      <c r="Y8" s="7"/>
      <c r="Z8" s="7"/>
      <c r="AA8" s="7"/>
      <c r="AB8" s="7"/>
      <c r="AC8" s="7"/>
      <c r="AD8" s="7"/>
      <c r="AE8" s="7"/>
      <c r="AF8" s="7"/>
    </row>
    <row r="9" spans="1:32" ht="15">
      <c r="A9" s="32" t="s">
        <v>280</v>
      </c>
      <c r="B9" s="33"/>
      <c r="E9" s="1">
        <v>9.6</v>
      </c>
      <c r="H9" s="7"/>
      <c r="I9" s="7"/>
      <c r="J9" s="7"/>
      <c r="K9" s="7"/>
      <c r="L9" s="13" t="s">
        <v>203</v>
      </c>
      <c r="M9" s="7"/>
      <c r="N9" s="7"/>
      <c r="O9" s="7"/>
      <c r="P9" s="7"/>
      <c r="Q9" s="7"/>
      <c r="R9" s="7"/>
      <c r="S9" s="7"/>
      <c r="T9" s="7"/>
      <c r="U9" s="7"/>
      <c r="V9" s="7"/>
      <c r="W9" s="7"/>
      <c r="X9" s="7"/>
      <c r="Y9" s="7"/>
      <c r="Z9" s="7"/>
      <c r="AA9" s="7"/>
      <c r="AB9" s="7"/>
      <c r="AC9" s="7"/>
      <c r="AD9" s="7"/>
      <c r="AE9" s="7"/>
      <c r="AF9" s="7"/>
    </row>
    <row r="10" spans="5:32" ht="14.25">
      <c r="E10" s="1">
        <v>19.5</v>
      </c>
      <c r="H10" s="7"/>
      <c r="I10" s="10">
        <v>37014</v>
      </c>
      <c r="J10" s="7">
        <v>10</v>
      </c>
      <c r="K10" s="7">
        <v>50</v>
      </c>
      <c r="L10" s="7">
        <v>62</v>
      </c>
      <c r="M10" s="7"/>
      <c r="N10" s="7"/>
      <c r="O10" s="7"/>
      <c r="P10" s="7"/>
      <c r="Q10" s="7"/>
      <c r="R10" s="7"/>
      <c r="S10" s="7"/>
      <c r="T10" s="7"/>
      <c r="U10" s="7"/>
      <c r="V10" s="7"/>
      <c r="W10" s="7"/>
      <c r="X10" s="7"/>
      <c r="Y10" s="7"/>
      <c r="Z10" s="7"/>
      <c r="AA10" s="7"/>
      <c r="AB10" s="7"/>
      <c r="AC10" s="7"/>
      <c r="AD10" s="7"/>
      <c r="AE10" s="7"/>
      <c r="AF10" s="7"/>
    </row>
    <row r="11" spans="5:25" ht="14.25">
      <c r="E11" s="1">
        <v>34.4</v>
      </c>
      <c r="H11" s="6"/>
      <c r="I11" s="6"/>
      <c r="J11" s="6"/>
      <c r="K11" s="6"/>
      <c r="L11" s="6"/>
      <c r="M11" s="6" t="s">
        <v>75</v>
      </c>
      <c r="N11" s="6" t="s">
        <v>76</v>
      </c>
      <c r="O11" s="6" t="s">
        <v>77</v>
      </c>
      <c r="P11" s="6" t="s">
        <v>78</v>
      </c>
      <c r="Q11" s="6" t="s">
        <v>79</v>
      </c>
      <c r="R11" s="6" t="s">
        <v>80</v>
      </c>
      <c r="S11" s="6" t="s">
        <v>81</v>
      </c>
      <c r="T11" s="6" t="s">
        <v>82</v>
      </c>
      <c r="U11" s="6" t="s">
        <v>83</v>
      </c>
      <c r="V11" s="6" t="s">
        <v>84</v>
      </c>
      <c r="W11" s="6" t="s">
        <v>85</v>
      </c>
      <c r="X11" s="6" t="s">
        <v>86</v>
      </c>
      <c r="Y11" s="6"/>
    </row>
    <row r="12" spans="5:23" ht="15">
      <c r="E12" s="1">
        <v>43.4</v>
      </c>
      <c r="M12" s="4" t="s">
        <v>240</v>
      </c>
      <c r="W12" s="4" t="s">
        <v>241</v>
      </c>
    </row>
    <row r="13" spans="2:23" ht="15">
      <c r="B13" s="2" t="s">
        <v>248</v>
      </c>
      <c r="C13" s="1">
        <v>89</v>
      </c>
      <c r="D13" s="1">
        <v>0.52</v>
      </c>
      <c r="E13" s="1">
        <v>3</v>
      </c>
      <c r="H13" s="6" t="s">
        <v>87</v>
      </c>
      <c r="L13" s="3" t="s">
        <v>96</v>
      </c>
      <c r="M13" s="3">
        <v>9.0737721</v>
      </c>
      <c r="N13" s="3">
        <v>7.724989699999999</v>
      </c>
      <c r="O13" s="3">
        <v>6.6724968</v>
      </c>
      <c r="P13" s="3">
        <v>6.881228800000001</v>
      </c>
      <c r="Q13" s="3">
        <v>5.9874516</v>
      </c>
      <c r="R13" s="3">
        <v>6.12546005</v>
      </c>
      <c r="S13" s="3">
        <v>6.3684838</v>
      </c>
      <c r="T13" s="3">
        <v>24.7323435</v>
      </c>
      <c r="U13" s="3">
        <v>0.4433829</v>
      </c>
      <c r="V13" s="3">
        <v>0</v>
      </c>
      <c r="W13" s="3">
        <f>SUM(M13:V13)</f>
        <v>74.00960925</v>
      </c>
    </row>
    <row r="14" spans="1:23" ht="15">
      <c r="A14" s="32" t="s">
        <v>8</v>
      </c>
      <c r="B14" s="33"/>
      <c r="E14" s="1">
        <v>7.5</v>
      </c>
      <c r="H14" s="23" t="s">
        <v>210</v>
      </c>
      <c r="L14" s="3" t="s">
        <v>88</v>
      </c>
      <c r="M14" s="3">
        <f>M13/$W$13</f>
        <v>0.12260262136163082</v>
      </c>
      <c r="N14" s="3">
        <f aca="true" t="shared" si="0" ref="N14:V14">N13/$W$13</f>
        <v>0.10437819869992083</v>
      </c>
      <c r="O14" s="3">
        <f t="shared" si="0"/>
        <v>0.09015716834094757</v>
      </c>
      <c r="P14" s="3">
        <f t="shared" si="0"/>
        <v>0.09297750480962039</v>
      </c>
      <c r="Q14" s="3">
        <f t="shared" si="0"/>
        <v>0.08090100273026371</v>
      </c>
      <c r="R14" s="3">
        <f t="shared" si="0"/>
        <v>0.0827657396394104</v>
      </c>
      <c r="S14" s="3">
        <f t="shared" si="0"/>
        <v>0.08604941796797826</v>
      </c>
      <c r="T14" s="3">
        <f t="shared" si="0"/>
        <v>0.33417746358389266</v>
      </c>
      <c r="U14" s="3">
        <f t="shared" si="0"/>
        <v>0.0059908828663353605</v>
      </c>
      <c r="V14" s="3">
        <f t="shared" si="0"/>
        <v>0</v>
      </c>
      <c r="W14" s="3">
        <f aca="true" t="shared" si="1" ref="W14:W19">SUM(M14:V14)</f>
        <v>0.9999999999999999</v>
      </c>
    </row>
    <row r="15" spans="1:23" ht="15">
      <c r="A15" s="30" t="s">
        <v>9</v>
      </c>
      <c r="B15" s="31"/>
      <c r="C15" s="9"/>
      <c r="D15" s="9"/>
      <c r="E15" s="1">
        <v>16.2</v>
      </c>
      <c r="H15" s="23" t="s">
        <v>211</v>
      </c>
      <c r="L15" s="3" t="s">
        <v>94</v>
      </c>
      <c r="M15" s="3">
        <v>18.1111873</v>
      </c>
      <c r="N15" s="3">
        <v>37.588879299999995</v>
      </c>
      <c r="O15" s="3">
        <v>41.484622</v>
      </c>
      <c r="P15" s="3">
        <v>48.228155</v>
      </c>
      <c r="Q15" s="3">
        <v>43.54845031</v>
      </c>
      <c r="R15" s="3">
        <v>35.3966097</v>
      </c>
      <c r="S15" s="3">
        <v>38.85781899999999</v>
      </c>
      <c r="T15" s="3">
        <v>43.2811209</v>
      </c>
      <c r="U15" s="3">
        <v>47.473898000000005</v>
      </c>
      <c r="V15" s="3">
        <v>0</v>
      </c>
      <c r="W15" s="3">
        <f t="shared" si="1"/>
        <v>353.97074151000004</v>
      </c>
    </row>
    <row r="16" spans="5:23" ht="15">
      <c r="E16" s="1">
        <v>30</v>
      </c>
      <c r="H16" s="23" t="s">
        <v>212</v>
      </c>
      <c r="L16" s="3" t="s">
        <v>95</v>
      </c>
      <c r="M16" s="3">
        <v>16.4950004</v>
      </c>
      <c r="N16" s="3">
        <v>32.483333</v>
      </c>
      <c r="O16" s="3">
        <v>37.69</v>
      </c>
      <c r="P16" s="3">
        <v>42.558334</v>
      </c>
      <c r="Q16" s="3">
        <v>41.016666699999995</v>
      </c>
      <c r="R16" s="3">
        <v>26.84999997</v>
      </c>
      <c r="S16" s="3">
        <v>40.943332999999996</v>
      </c>
      <c r="T16" s="3">
        <v>34.4586111</v>
      </c>
      <c r="U16" s="3">
        <v>34.77</v>
      </c>
      <c r="V16" s="3">
        <v>0</v>
      </c>
      <c r="W16" s="3">
        <f t="shared" si="1"/>
        <v>307.26527817</v>
      </c>
    </row>
    <row r="17" spans="5:23" ht="15">
      <c r="E17" s="1">
        <v>43.5</v>
      </c>
      <c r="H17" s="23" t="s">
        <v>213</v>
      </c>
      <c r="L17" s="3" t="s">
        <v>89</v>
      </c>
      <c r="M17" s="3">
        <f>3.1415926*0.51*10</f>
        <v>16.02212226</v>
      </c>
      <c r="N17" s="3">
        <f aca="true" t="shared" si="2" ref="N17:S17">3.1415926*0.5*5</f>
        <v>7.8539815</v>
      </c>
      <c r="O17" s="3">
        <f t="shared" si="2"/>
        <v>7.8539815</v>
      </c>
      <c r="P17" s="3">
        <f t="shared" si="2"/>
        <v>7.8539815</v>
      </c>
      <c r="Q17" s="3">
        <f t="shared" si="2"/>
        <v>7.8539815</v>
      </c>
      <c r="R17" s="3">
        <f t="shared" si="2"/>
        <v>7.8539815</v>
      </c>
      <c r="S17" s="3">
        <f t="shared" si="2"/>
        <v>7.8539815</v>
      </c>
      <c r="T17" s="3">
        <f>3.1415926*0.5*10</f>
        <v>15.707963</v>
      </c>
      <c r="U17" s="3">
        <f>3.1415926*0.5*11</f>
        <v>17.2787593</v>
      </c>
      <c r="V17" s="3">
        <v>0</v>
      </c>
      <c r="W17" s="3">
        <f t="shared" si="1"/>
        <v>96.13273356</v>
      </c>
    </row>
    <row r="18" spans="2:23" ht="15">
      <c r="B18" s="2" t="s">
        <v>325</v>
      </c>
      <c r="C18" s="1">
        <v>89</v>
      </c>
      <c r="D18" s="1">
        <v>0.51</v>
      </c>
      <c r="E18" s="1">
        <v>7</v>
      </c>
      <c r="H18" s="23" t="s">
        <v>214</v>
      </c>
      <c r="L18" s="3" t="s">
        <v>90</v>
      </c>
      <c r="M18" s="3">
        <f aca="true" t="shared" si="3" ref="M18:W18">M17/$W$17</f>
        <v>0.16666666666666666</v>
      </c>
      <c r="N18" s="3">
        <f t="shared" si="3"/>
        <v>0.08169934640522875</v>
      </c>
      <c r="O18" s="3">
        <f t="shared" si="3"/>
        <v>0.08169934640522875</v>
      </c>
      <c r="P18" s="3">
        <f t="shared" si="3"/>
        <v>0.08169934640522875</v>
      </c>
      <c r="Q18" s="3">
        <f t="shared" si="3"/>
        <v>0.08169934640522875</v>
      </c>
      <c r="R18" s="3">
        <f t="shared" si="3"/>
        <v>0.08169934640522875</v>
      </c>
      <c r="S18" s="3">
        <f t="shared" si="3"/>
        <v>0.08169934640522875</v>
      </c>
      <c r="T18" s="3">
        <f t="shared" si="3"/>
        <v>0.1633986928104575</v>
      </c>
      <c r="U18" s="3">
        <f t="shared" si="3"/>
        <v>0.17973856209150327</v>
      </c>
      <c r="V18" s="3">
        <f t="shared" si="3"/>
        <v>0</v>
      </c>
      <c r="W18" s="3">
        <f t="shared" si="3"/>
        <v>1</v>
      </c>
    </row>
    <row r="19" spans="5:23" ht="15">
      <c r="E19" s="1">
        <v>15.3</v>
      </c>
      <c r="H19" s="23" t="s">
        <v>215</v>
      </c>
      <c r="L19" s="3" t="s">
        <v>91</v>
      </c>
      <c r="M19" s="3">
        <v>0</v>
      </c>
      <c r="N19" s="3">
        <v>0</v>
      </c>
      <c r="O19" s="3">
        <v>0</v>
      </c>
      <c r="P19" s="3">
        <v>0</v>
      </c>
      <c r="Q19" s="3">
        <v>0</v>
      </c>
      <c r="R19" s="3">
        <v>0</v>
      </c>
      <c r="S19" s="3">
        <v>0</v>
      </c>
      <c r="T19" s="3">
        <v>0</v>
      </c>
      <c r="U19" s="3">
        <v>0</v>
      </c>
      <c r="V19" s="3">
        <v>0</v>
      </c>
      <c r="W19" s="3">
        <f t="shared" si="1"/>
        <v>0</v>
      </c>
    </row>
    <row r="20" spans="5:23" ht="15">
      <c r="E20" s="1">
        <v>25.4</v>
      </c>
      <c r="H20" s="23" t="s">
        <v>216</v>
      </c>
      <c r="L20" s="3" t="s">
        <v>92</v>
      </c>
      <c r="M20" s="3">
        <v>0</v>
      </c>
      <c r="N20" s="3">
        <v>0</v>
      </c>
      <c r="O20" s="3">
        <v>0</v>
      </c>
      <c r="P20" s="3">
        <v>0</v>
      </c>
      <c r="Q20" s="3">
        <v>0</v>
      </c>
      <c r="R20" s="3">
        <v>0</v>
      </c>
      <c r="S20" s="3">
        <v>0</v>
      </c>
      <c r="T20" s="3">
        <v>0</v>
      </c>
      <c r="U20" s="3">
        <v>0</v>
      </c>
      <c r="V20" s="3">
        <v>0</v>
      </c>
      <c r="W20" s="3">
        <v>0</v>
      </c>
    </row>
    <row r="21" spans="5:23" ht="15">
      <c r="E21" s="1">
        <v>40</v>
      </c>
      <c r="H21" s="23" t="s">
        <v>217</v>
      </c>
      <c r="L21" s="3" t="s">
        <v>93</v>
      </c>
      <c r="M21" s="3">
        <f>M13+M17+M19</f>
        <v>25.09589436</v>
      </c>
      <c r="N21" s="3">
        <f aca="true" t="shared" si="4" ref="N21:W21">N13+N17+N19</f>
        <v>15.578971199999998</v>
      </c>
      <c r="O21" s="3">
        <f t="shared" si="4"/>
        <v>14.5264783</v>
      </c>
      <c r="P21" s="3">
        <f t="shared" si="4"/>
        <v>14.7352103</v>
      </c>
      <c r="Q21" s="3">
        <f t="shared" si="4"/>
        <v>13.8414331</v>
      </c>
      <c r="R21" s="3">
        <f>R13+R17+R19</f>
        <v>13.97944155</v>
      </c>
      <c r="S21" s="3">
        <f t="shared" si="4"/>
        <v>14.2224653</v>
      </c>
      <c r="T21" s="3">
        <f t="shared" si="4"/>
        <v>40.4403065</v>
      </c>
      <c r="U21" s="3">
        <f t="shared" si="4"/>
        <v>17.7221422</v>
      </c>
      <c r="V21" s="3">
        <f t="shared" si="4"/>
        <v>0</v>
      </c>
      <c r="W21" s="3">
        <f t="shared" si="4"/>
        <v>170.14234281</v>
      </c>
    </row>
    <row r="22" spans="5:23" ht="15">
      <c r="E22" s="1">
        <v>47.7</v>
      </c>
      <c r="H22" s="23" t="s">
        <v>218</v>
      </c>
      <c r="L22" s="4" t="s">
        <v>191</v>
      </c>
      <c r="M22" s="3">
        <f>M21/$W$21</f>
        <v>0.14749940517760993</v>
      </c>
      <c r="N22" s="3">
        <f aca="true" t="shared" si="5" ref="N22:W22">N21/$W$21</f>
        <v>0.09156433926266798</v>
      </c>
      <c r="O22" s="3">
        <f t="shared" si="5"/>
        <v>0.08537838412288641</v>
      </c>
      <c r="P22" s="3">
        <f t="shared" si="5"/>
        <v>0.08660519219754124</v>
      </c>
      <c r="Q22" s="3">
        <f t="shared" si="5"/>
        <v>0.08135207774502608</v>
      </c>
      <c r="R22" s="3">
        <f t="shared" si="5"/>
        <v>0.08216321298461848</v>
      </c>
      <c r="S22" s="3">
        <f t="shared" si="5"/>
        <v>0.08359156847794436</v>
      </c>
      <c r="T22" s="3">
        <f t="shared" si="5"/>
        <v>0.2376851395843313</v>
      </c>
      <c r="U22" s="3">
        <f t="shared" si="5"/>
        <v>0.10416068044737417</v>
      </c>
      <c r="V22" s="3">
        <f t="shared" si="5"/>
        <v>0</v>
      </c>
      <c r="W22" s="3">
        <f t="shared" si="5"/>
        <v>1</v>
      </c>
    </row>
    <row r="23" spans="2:32" ht="15">
      <c r="B23" s="2" t="s">
        <v>238</v>
      </c>
      <c r="C23" s="1">
        <v>89</v>
      </c>
      <c r="D23" s="1">
        <v>0.52</v>
      </c>
      <c r="E23" s="1">
        <v>2.5</v>
      </c>
      <c r="H23" s="23" t="s">
        <v>219</v>
      </c>
      <c r="J23" s="7"/>
      <c r="K23" s="7"/>
      <c r="L23" s="7" t="s">
        <v>46</v>
      </c>
      <c r="M23" s="7" t="s">
        <v>47</v>
      </c>
      <c r="N23" s="11">
        <v>37021</v>
      </c>
      <c r="O23" s="11">
        <v>37179</v>
      </c>
      <c r="P23" s="7" t="s">
        <v>48</v>
      </c>
      <c r="Q23" s="7" t="s">
        <v>49</v>
      </c>
      <c r="R23" s="7" t="s">
        <v>50</v>
      </c>
      <c r="S23" s="7" t="s">
        <v>51</v>
      </c>
      <c r="T23" s="7" t="s">
        <v>52</v>
      </c>
      <c r="U23" s="7" t="s">
        <v>53</v>
      </c>
      <c r="V23" s="7" t="s">
        <v>54</v>
      </c>
      <c r="W23" s="7" t="s">
        <v>55</v>
      </c>
      <c r="X23" s="7" t="s">
        <v>56</v>
      </c>
      <c r="Y23" s="7" t="s">
        <v>57</v>
      </c>
      <c r="Z23" s="7" t="s">
        <v>58</v>
      </c>
      <c r="AA23" s="7" t="s">
        <v>59</v>
      </c>
      <c r="AB23" s="7" t="s">
        <v>60</v>
      </c>
      <c r="AC23" s="7" t="s">
        <v>61</v>
      </c>
      <c r="AD23" s="7" t="s">
        <v>62</v>
      </c>
      <c r="AE23" s="7" t="s">
        <v>63</v>
      </c>
      <c r="AF23" s="7"/>
    </row>
    <row r="24" spans="5:32" ht="15">
      <c r="E24" s="1">
        <v>9.1</v>
      </c>
      <c r="H24" s="7"/>
      <c r="I24" s="7"/>
      <c r="J24" s="7"/>
      <c r="K24" s="7"/>
      <c r="L24" s="13" t="s">
        <v>234</v>
      </c>
      <c r="M24" s="7"/>
      <c r="N24" s="12"/>
      <c r="O24" s="12"/>
      <c r="P24" s="7"/>
      <c r="Q24" s="7"/>
      <c r="R24" s="7"/>
      <c r="S24" s="7"/>
      <c r="T24" s="7"/>
      <c r="U24" s="7"/>
      <c r="V24" s="7"/>
      <c r="W24" s="7"/>
      <c r="X24" s="7"/>
      <c r="Y24" s="7"/>
      <c r="Z24" s="7"/>
      <c r="AA24" s="7"/>
      <c r="AB24" s="13" t="s">
        <v>242</v>
      </c>
      <c r="AC24" s="7"/>
      <c r="AD24" s="7"/>
      <c r="AF24" s="7"/>
    </row>
    <row r="25" spans="5:32" ht="14.25">
      <c r="E25" s="1">
        <v>18.4</v>
      </c>
      <c r="H25" s="7"/>
      <c r="I25" s="7"/>
      <c r="J25" s="7"/>
      <c r="K25" s="7"/>
      <c r="L25" s="7" t="s">
        <v>97</v>
      </c>
      <c r="M25" s="7">
        <v>2.5760934</v>
      </c>
      <c r="N25" s="7">
        <v>2.3848901000000002</v>
      </c>
      <c r="O25" s="7">
        <v>2.0460903999999998</v>
      </c>
      <c r="P25" s="7">
        <v>3.0414882</v>
      </c>
      <c r="Q25" s="7">
        <v>3.0565767</v>
      </c>
      <c r="R25" s="7">
        <v>7.406111299999999</v>
      </c>
      <c r="S25" s="7">
        <v>3.7954228999999997</v>
      </c>
      <c r="T25" s="7">
        <v>6.0798942</v>
      </c>
      <c r="U25" s="7">
        <v>2.2929234000000003</v>
      </c>
      <c r="V25" s="7">
        <v>3.2566499999999996</v>
      </c>
      <c r="W25" s="7">
        <v>4.8252941</v>
      </c>
      <c r="X25" s="7">
        <v>4.7780219</v>
      </c>
      <c r="Y25" s="7">
        <v>4.3280137</v>
      </c>
      <c r="Z25" s="7">
        <v>7.075830299999998</v>
      </c>
      <c r="AA25" s="7">
        <v>5.0499701</v>
      </c>
      <c r="AB25" s="7">
        <v>5.54644</v>
      </c>
      <c r="AC25" s="7">
        <v>4.925601899999999</v>
      </c>
      <c r="AD25" s="7">
        <v>1.5745915</v>
      </c>
      <c r="AE25" s="7">
        <f>SUM(M25:AD25)</f>
        <v>74.0399041</v>
      </c>
      <c r="AF25" s="7"/>
    </row>
    <row r="26" spans="5:32" ht="15">
      <c r="E26" s="1">
        <v>33</v>
      </c>
      <c r="H26" s="13" t="s">
        <v>220</v>
      </c>
      <c r="I26" s="7"/>
      <c r="J26" s="7"/>
      <c r="K26" s="7"/>
      <c r="L26" s="7" t="s">
        <v>64</v>
      </c>
      <c r="M26" s="7">
        <v>0</v>
      </c>
      <c r="N26" s="7">
        <v>0</v>
      </c>
      <c r="O26" s="7">
        <v>0</v>
      </c>
      <c r="P26" s="7">
        <v>0</v>
      </c>
      <c r="Q26" s="7">
        <v>0</v>
      </c>
      <c r="R26" s="7">
        <v>0</v>
      </c>
      <c r="S26" s="7">
        <v>0</v>
      </c>
      <c r="T26" s="7">
        <v>0</v>
      </c>
      <c r="U26" s="7">
        <v>0</v>
      </c>
      <c r="V26" s="7">
        <v>0</v>
      </c>
      <c r="W26" s="7">
        <v>0</v>
      </c>
      <c r="X26" s="7">
        <v>0</v>
      </c>
      <c r="Y26" s="7">
        <v>0</v>
      </c>
      <c r="Z26" s="7">
        <v>0</v>
      </c>
      <c r="AA26" s="7">
        <v>0</v>
      </c>
      <c r="AB26" s="7">
        <v>0</v>
      </c>
      <c r="AC26" s="3">
        <v>0</v>
      </c>
      <c r="AD26" s="7">
        <f>3.1415*0.51*62</f>
        <v>99.33423</v>
      </c>
      <c r="AE26" s="7">
        <f>SUM(M26:AD26)</f>
        <v>99.33423</v>
      </c>
      <c r="AF26" s="7"/>
    </row>
    <row r="27" spans="5:32" ht="15">
      <c r="E27" s="1">
        <v>44</v>
      </c>
      <c r="H27" s="13" t="s">
        <v>221</v>
      </c>
      <c r="I27" s="7"/>
      <c r="J27" s="7"/>
      <c r="K27" s="7"/>
      <c r="L27" s="7" t="s">
        <v>65</v>
      </c>
      <c r="M27" s="7">
        <f>M25+M26</f>
        <v>2.5760934</v>
      </c>
      <c r="N27" s="7">
        <v>15.7776</v>
      </c>
      <c r="O27" s="7">
        <v>15.9637</v>
      </c>
      <c r="P27" s="7">
        <v>9.7297</v>
      </c>
      <c r="Q27" s="7">
        <v>13.0172</v>
      </c>
      <c r="R27" s="7">
        <v>15.175</v>
      </c>
      <c r="S27" s="7">
        <v>9.0759</v>
      </c>
      <c r="T27" s="7">
        <v>11.6235</v>
      </c>
      <c r="U27" s="7">
        <v>7.523</v>
      </c>
      <c r="V27" s="7">
        <v>14.344</v>
      </c>
      <c r="W27" s="7">
        <v>9.358</v>
      </c>
      <c r="X27" s="7">
        <v>15.0713</v>
      </c>
      <c r="Y27" s="7">
        <v>8.5356</v>
      </c>
      <c r="Z27" s="7">
        <v>9.2383</v>
      </c>
      <c r="AA27" s="7">
        <v>10.0258</v>
      </c>
      <c r="AB27" s="7">
        <v>5.6752</v>
      </c>
      <c r="AC27" s="7">
        <f>AC25+AC26</f>
        <v>4.925601899999999</v>
      </c>
      <c r="AD27" s="7">
        <f>AD26+AD25</f>
        <v>100.9088215</v>
      </c>
      <c r="AE27" s="7">
        <f>SUM(M27:AD27)</f>
        <v>278.5443168</v>
      </c>
      <c r="AF27" s="7"/>
    </row>
    <row r="28" spans="2:32" ht="15">
      <c r="B28" s="2" t="s">
        <v>326</v>
      </c>
      <c r="C28" s="1">
        <v>90</v>
      </c>
      <c r="D28" s="1">
        <v>0.51</v>
      </c>
      <c r="E28" s="1">
        <v>5.6</v>
      </c>
      <c r="H28" s="13" t="s">
        <v>222</v>
      </c>
      <c r="I28" s="7"/>
      <c r="J28" s="7"/>
      <c r="K28" s="7"/>
      <c r="L28" s="7" t="s">
        <v>66</v>
      </c>
      <c r="M28" s="7">
        <v>0</v>
      </c>
      <c r="N28" s="7">
        <v>0</v>
      </c>
      <c r="O28" s="7">
        <v>0</v>
      </c>
      <c r="P28" s="7">
        <v>0</v>
      </c>
      <c r="Q28" s="7">
        <v>0</v>
      </c>
      <c r="R28" s="7">
        <v>0</v>
      </c>
      <c r="S28" s="7">
        <v>0</v>
      </c>
      <c r="T28" s="7">
        <v>0</v>
      </c>
      <c r="U28" s="7">
        <v>0</v>
      </c>
      <c r="V28" s="7">
        <v>0</v>
      </c>
      <c r="W28" s="7">
        <v>0</v>
      </c>
      <c r="X28" s="7">
        <v>0</v>
      </c>
      <c r="Y28" s="7">
        <v>0</v>
      </c>
      <c r="Z28" s="7">
        <v>0</v>
      </c>
      <c r="AA28" s="7">
        <v>0</v>
      </c>
      <c r="AB28" s="7">
        <v>0</v>
      </c>
      <c r="AC28" s="3">
        <v>0</v>
      </c>
      <c r="AD28" s="7">
        <v>0</v>
      </c>
      <c r="AE28" s="7">
        <v>0</v>
      </c>
      <c r="AF28" s="7"/>
    </row>
    <row r="29" spans="1:32" ht="15">
      <c r="A29" s="30" t="s">
        <v>10</v>
      </c>
      <c r="B29" s="31"/>
      <c r="C29" s="9"/>
      <c r="D29" s="9"/>
      <c r="E29" s="1">
        <v>11</v>
      </c>
      <c r="H29" s="13" t="s">
        <v>223</v>
      </c>
      <c r="I29" s="7"/>
      <c r="J29" s="7"/>
      <c r="K29" s="7"/>
      <c r="L29" s="7" t="s">
        <v>67</v>
      </c>
      <c r="M29" s="7">
        <f aca="true" t="shared" si="6" ref="M29:AB29">M27+M28</f>
        <v>2.5760934</v>
      </c>
      <c r="N29" s="7">
        <f t="shared" si="6"/>
        <v>15.7776</v>
      </c>
      <c r="O29" s="7">
        <f t="shared" si="6"/>
        <v>15.9637</v>
      </c>
      <c r="P29" s="7">
        <f t="shared" si="6"/>
        <v>9.7297</v>
      </c>
      <c r="Q29" s="7">
        <f t="shared" si="6"/>
        <v>13.0172</v>
      </c>
      <c r="R29" s="7">
        <f t="shared" si="6"/>
        <v>15.175</v>
      </c>
      <c r="S29" s="7">
        <f t="shared" si="6"/>
        <v>9.0759</v>
      </c>
      <c r="T29" s="7">
        <f t="shared" si="6"/>
        <v>11.6235</v>
      </c>
      <c r="U29" s="7">
        <f t="shared" si="6"/>
        <v>7.523</v>
      </c>
      <c r="V29" s="7">
        <f t="shared" si="6"/>
        <v>14.344</v>
      </c>
      <c r="W29" s="7">
        <f t="shared" si="6"/>
        <v>9.358</v>
      </c>
      <c r="X29" s="7">
        <f t="shared" si="6"/>
        <v>15.0713</v>
      </c>
      <c r="Y29" s="7">
        <f t="shared" si="6"/>
        <v>8.5356</v>
      </c>
      <c r="Z29" s="7">
        <f t="shared" si="6"/>
        <v>9.2383</v>
      </c>
      <c r="AA29" s="7">
        <f t="shared" si="6"/>
        <v>10.0258</v>
      </c>
      <c r="AB29" s="7">
        <f t="shared" si="6"/>
        <v>5.6752</v>
      </c>
      <c r="AC29" s="7">
        <f>AC27+AD28</f>
        <v>4.925601899999999</v>
      </c>
      <c r="AD29" s="7">
        <f>AD27+AD28</f>
        <v>100.9088215</v>
      </c>
      <c r="AE29" s="7">
        <f>SUM(M29:AD29)</f>
        <v>278.5443168</v>
      </c>
      <c r="AF29" s="7"/>
    </row>
    <row r="30" spans="1:32" ht="15">
      <c r="A30" s="30" t="s">
        <v>156</v>
      </c>
      <c r="B30" s="31"/>
      <c r="C30" s="9"/>
      <c r="D30" s="9"/>
      <c r="E30" s="1">
        <v>21.2</v>
      </c>
      <c r="H30" s="13" t="s">
        <v>224</v>
      </c>
      <c r="I30" s="7"/>
      <c r="J30" s="7"/>
      <c r="K30" s="7"/>
      <c r="L30" s="7" t="s">
        <v>68</v>
      </c>
      <c r="M30" s="7">
        <f>M25/AE25</f>
        <v>0.03479331086815927</v>
      </c>
      <c r="N30" s="7">
        <f>N25/AE25</f>
        <v>0.032210875054334384</v>
      </c>
      <c r="O30" s="7">
        <f>O25/AE25</f>
        <v>0.027634968263012642</v>
      </c>
      <c r="P30" s="7">
        <f>P25/AE25</f>
        <v>0.04107904024149053</v>
      </c>
      <c r="Q30" s="7">
        <f>Q25/AE25</f>
        <v>0.04128282899815371</v>
      </c>
      <c r="R30" s="7">
        <f>R25/AE25</f>
        <v>0.10002864522889082</v>
      </c>
      <c r="S30" s="7">
        <f>S25/AE25</f>
        <v>0.05126185596990798</v>
      </c>
      <c r="T30" s="7">
        <f>T25/AE25</f>
        <v>0.08211645157979074</v>
      </c>
      <c r="U30" s="7">
        <f>U25/AE25</f>
        <v>0.03096875161943923</v>
      </c>
      <c r="V30" s="7">
        <f>V25/AE25</f>
        <v>0.04398506507519909</v>
      </c>
      <c r="W30" s="7">
        <f>W25/AE25</f>
        <v>0.06517153362979572</v>
      </c>
      <c r="X30" s="7">
        <f>X25/AE25</f>
        <v>0.06453306440735922</v>
      </c>
      <c r="Y30" s="7">
        <f>Y25/AE25</f>
        <v>0.058455149997959</v>
      </c>
      <c r="Z30" s="7">
        <f>Z25/AE25</f>
        <v>0.09556779396206698</v>
      </c>
      <c r="AA30" s="7">
        <f>AA25/AE25</f>
        <v>0.06820605944031741</v>
      </c>
      <c r="AB30" s="7">
        <f>AB25/AE25</f>
        <v>0.07491149627245397</v>
      </c>
      <c r="AC30" s="7">
        <f>AC25/AE25</f>
        <v>0.0665263138826783</v>
      </c>
      <c r="AD30" s="7">
        <f>AD25/AE25</f>
        <v>0.02126679550899094</v>
      </c>
      <c r="AE30" s="7">
        <f>AE25/AE25</f>
        <v>1</v>
      </c>
      <c r="AF30" s="7"/>
    </row>
    <row r="31" spans="5:32" ht="15">
      <c r="E31" s="1">
        <v>35.1</v>
      </c>
      <c r="H31" s="13" t="s">
        <v>225</v>
      </c>
      <c r="I31" s="7"/>
      <c r="J31" s="7"/>
      <c r="K31" s="7"/>
      <c r="L31" s="7" t="s">
        <v>69</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1</v>
      </c>
      <c r="AE31" s="7"/>
      <c r="AF31" s="7"/>
    </row>
    <row r="32" spans="5:32" ht="15">
      <c r="E32" s="1">
        <v>42.8</v>
      </c>
      <c r="H32" s="13" t="s">
        <v>226</v>
      </c>
      <c r="I32" s="7"/>
      <c r="J32" s="7"/>
      <c r="K32" s="7"/>
      <c r="L32" s="7" t="s">
        <v>70</v>
      </c>
      <c r="M32" s="3">
        <f aca="true" t="shared" si="7" ref="M32:AE32">M27/$AE$27</f>
        <v>0.009248414864804738</v>
      </c>
      <c r="N32" s="3">
        <f t="shared" si="7"/>
        <v>0.05664305120728279</v>
      </c>
      <c r="O32" s="3">
        <f t="shared" si="7"/>
        <v>0.05731116751329101</v>
      </c>
      <c r="P32" s="3">
        <f t="shared" si="7"/>
        <v>0.03493052779456313</v>
      </c>
      <c r="Q32" s="3">
        <f t="shared" si="7"/>
        <v>0.04673295850924358</v>
      </c>
      <c r="R32" s="3">
        <f t="shared" si="7"/>
        <v>0.05447966116966563</v>
      </c>
      <c r="S32" s="3">
        <f t="shared" si="7"/>
        <v>0.03258332499570137</v>
      </c>
      <c r="T32" s="3">
        <f t="shared" si="7"/>
        <v>0.04172944590481769</v>
      </c>
      <c r="U32" s="3">
        <f t="shared" si="7"/>
        <v>0.027008269586780525</v>
      </c>
      <c r="V32" s="3">
        <f t="shared" si="7"/>
        <v>0.051496293892433855</v>
      </c>
      <c r="W32" s="3">
        <f t="shared" si="7"/>
        <v>0.033596090229043224</v>
      </c>
      <c r="X32" s="3">
        <f t="shared" si="7"/>
        <v>0.05410736852628544</v>
      </c>
      <c r="Y32" s="3">
        <f t="shared" si="7"/>
        <v>0.03064359775155176</v>
      </c>
      <c r="Z32" s="3">
        <f t="shared" si="7"/>
        <v>0.0331663560977741</v>
      </c>
      <c r="AA32" s="3">
        <f t="shared" si="7"/>
        <v>0.03599355432980782</v>
      </c>
      <c r="AB32" s="3">
        <f t="shared" si="7"/>
        <v>0.02037449575420668</v>
      </c>
      <c r="AC32" s="3">
        <f t="shared" si="7"/>
        <v>0.01768336886778657</v>
      </c>
      <c r="AD32" s="3">
        <f t="shared" si="7"/>
        <v>0.3622720530049601</v>
      </c>
      <c r="AE32" s="3">
        <f t="shared" si="7"/>
        <v>1</v>
      </c>
      <c r="AF32" s="7"/>
    </row>
    <row r="33" spans="2:32" ht="15">
      <c r="B33" s="2" t="s">
        <v>239</v>
      </c>
      <c r="C33" s="1">
        <v>89</v>
      </c>
      <c r="D33" s="1">
        <v>0.52</v>
      </c>
      <c r="E33" s="1">
        <v>3</v>
      </c>
      <c r="H33" s="13" t="s">
        <v>227</v>
      </c>
      <c r="I33" s="7"/>
      <c r="J33" s="7"/>
      <c r="K33" s="7"/>
      <c r="L33" s="7" t="s">
        <v>71</v>
      </c>
      <c r="M33" s="7">
        <f>M30</f>
        <v>0.03479331086815927</v>
      </c>
      <c r="N33" s="7">
        <f>M30+N30</f>
        <v>0.06700418592249366</v>
      </c>
      <c r="O33" s="7">
        <f aca="true" t="shared" si="8" ref="O33:AD33">N33+O30</f>
        <v>0.09463915418550631</v>
      </c>
      <c r="P33" s="7">
        <f t="shared" si="8"/>
        <v>0.13571819442699684</v>
      </c>
      <c r="Q33" s="7">
        <f t="shared" si="8"/>
        <v>0.17700102342515056</v>
      </c>
      <c r="R33" s="7">
        <f t="shared" si="8"/>
        <v>0.2770296686540414</v>
      </c>
      <c r="S33" s="7">
        <f t="shared" si="8"/>
        <v>0.3282915246239494</v>
      </c>
      <c r="T33" s="7">
        <f t="shared" si="8"/>
        <v>0.41040797620374014</v>
      </c>
      <c r="U33" s="7">
        <f t="shared" si="8"/>
        <v>0.4413767278231794</v>
      </c>
      <c r="V33" s="7">
        <f t="shared" si="8"/>
        <v>0.48536179289837844</v>
      </c>
      <c r="W33" s="7">
        <f t="shared" si="8"/>
        <v>0.5505333265281742</v>
      </c>
      <c r="X33" s="7">
        <f t="shared" si="8"/>
        <v>0.6150663909355334</v>
      </c>
      <c r="Y33" s="7">
        <f t="shared" si="8"/>
        <v>0.6735215409334924</v>
      </c>
      <c r="Z33" s="7">
        <f t="shared" si="8"/>
        <v>0.7690893348955593</v>
      </c>
      <c r="AA33" s="7">
        <f t="shared" si="8"/>
        <v>0.8372953943358767</v>
      </c>
      <c r="AB33" s="7">
        <f t="shared" si="8"/>
        <v>0.9122068906083307</v>
      </c>
      <c r="AC33" s="7">
        <f t="shared" si="8"/>
        <v>0.978733204491009</v>
      </c>
      <c r="AD33" s="7">
        <f t="shared" si="8"/>
        <v>0.9999999999999999</v>
      </c>
      <c r="AE33" s="7"/>
      <c r="AF33" s="7"/>
    </row>
    <row r="34" spans="5:32" ht="15">
      <c r="E34" s="1">
        <v>7.4</v>
      </c>
      <c r="H34" s="13" t="s">
        <v>228</v>
      </c>
      <c r="I34" s="7"/>
      <c r="J34" s="7"/>
      <c r="K34" s="7"/>
      <c r="L34" s="7" t="s">
        <v>72</v>
      </c>
      <c r="M34" s="7">
        <f aca="true" t="shared" si="9" ref="M34:AC34">M33+M31</f>
        <v>0.03479331086815927</v>
      </c>
      <c r="N34" s="13">
        <f t="shared" si="9"/>
        <v>0.06700418592249366</v>
      </c>
      <c r="O34" s="13">
        <f t="shared" si="9"/>
        <v>0.09463915418550631</v>
      </c>
      <c r="P34" s="13">
        <f t="shared" si="9"/>
        <v>0.13571819442699684</v>
      </c>
      <c r="Q34" s="13">
        <f t="shared" si="9"/>
        <v>0.17700102342515056</v>
      </c>
      <c r="R34" s="13">
        <f t="shared" si="9"/>
        <v>0.2770296686540414</v>
      </c>
      <c r="S34" s="13">
        <f t="shared" si="9"/>
        <v>0.3282915246239494</v>
      </c>
      <c r="T34" s="13">
        <f t="shared" si="9"/>
        <v>0.41040797620374014</v>
      </c>
      <c r="U34" s="13">
        <f t="shared" si="9"/>
        <v>0.4413767278231794</v>
      </c>
      <c r="V34" s="13">
        <f t="shared" si="9"/>
        <v>0.48536179289837844</v>
      </c>
      <c r="W34" s="13">
        <f t="shared" si="9"/>
        <v>0.5505333265281742</v>
      </c>
      <c r="X34" s="13">
        <f t="shared" si="9"/>
        <v>0.6150663909355334</v>
      </c>
      <c r="Y34" s="13">
        <f t="shared" si="9"/>
        <v>0.6735215409334924</v>
      </c>
      <c r="Z34" s="13">
        <f t="shared" si="9"/>
        <v>0.7690893348955593</v>
      </c>
      <c r="AA34" s="13">
        <f t="shared" si="9"/>
        <v>0.8372953943358767</v>
      </c>
      <c r="AB34" s="13">
        <f t="shared" si="9"/>
        <v>0.9122068906083307</v>
      </c>
      <c r="AC34" s="13">
        <f t="shared" si="9"/>
        <v>0.978733204491009</v>
      </c>
      <c r="AD34" s="13"/>
      <c r="AE34" s="13"/>
      <c r="AF34" s="13"/>
    </row>
    <row r="35" spans="5:32" ht="15">
      <c r="E35" s="1">
        <v>17.6</v>
      </c>
      <c r="H35" s="13" t="s">
        <v>230</v>
      </c>
      <c r="I35" s="7"/>
      <c r="J35" s="7"/>
      <c r="K35" s="7"/>
      <c r="L35" s="7" t="s">
        <v>73</v>
      </c>
      <c r="M35" s="7">
        <f>M32</f>
        <v>0.009248414864804738</v>
      </c>
      <c r="N35" s="7">
        <f aca="true" t="shared" si="10" ref="N35:AD35">M35+N32</f>
        <v>0.06589146607208753</v>
      </c>
      <c r="O35" s="7">
        <f t="shared" si="10"/>
        <v>0.12320263358537853</v>
      </c>
      <c r="P35" s="7">
        <f t="shared" si="10"/>
        <v>0.15813316137994166</v>
      </c>
      <c r="Q35" s="7">
        <f t="shared" si="10"/>
        <v>0.20486611988918524</v>
      </c>
      <c r="R35" s="7">
        <f t="shared" si="10"/>
        <v>0.25934578105885087</v>
      </c>
      <c r="S35" s="7">
        <f t="shared" si="10"/>
        <v>0.29192910605455225</v>
      </c>
      <c r="T35" s="7">
        <f t="shared" si="10"/>
        <v>0.33365855195936994</v>
      </c>
      <c r="U35" s="7">
        <f t="shared" si="10"/>
        <v>0.3606668215461505</v>
      </c>
      <c r="V35" s="7">
        <f t="shared" si="10"/>
        <v>0.41216311543858436</v>
      </c>
      <c r="W35" s="7">
        <f t="shared" si="10"/>
        <v>0.4457592056676276</v>
      </c>
      <c r="X35" s="7">
        <f t="shared" si="10"/>
        <v>0.49986657419391306</v>
      </c>
      <c r="Y35" s="7">
        <f t="shared" si="10"/>
        <v>0.5305101719454648</v>
      </c>
      <c r="Z35" s="7">
        <f t="shared" si="10"/>
        <v>0.5636765280432389</v>
      </c>
      <c r="AA35" s="7">
        <f t="shared" si="10"/>
        <v>0.5996700823730466</v>
      </c>
      <c r="AB35" s="7">
        <f t="shared" si="10"/>
        <v>0.6200445781272533</v>
      </c>
      <c r="AC35" s="7">
        <f t="shared" si="10"/>
        <v>0.6377279469950399</v>
      </c>
      <c r="AD35" s="7">
        <f t="shared" si="10"/>
        <v>1</v>
      </c>
      <c r="AE35" s="7"/>
      <c r="AF35" s="7"/>
    </row>
    <row r="36" spans="5:25" ht="14.25">
      <c r="E36" s="1">
        <v>32.2</v>
      </c>
      <c r="H36" s="7" t="s">
        <v>229</v>
      </c>
      <c r="I36" s="7"/>
      <c r="J36" s="7"/>
      <c r="K36" s="7"/>
      <c r="L36" s="7"/>
      <c r="M36" s="7"/>
      <c r="N36" s="7"/>
      <c r="O36" s="7"/>
      <c r="P36" s="7"/>
      <c r="Q36" s="7"/>
      <c r="R36" s="7"/>
      <c r="S36" s="7"/>
      <c r="T36" s="7"/>
      <c r="U36" s="7"/>
      <c r="V36" s="7"/>
      <c r="W36" s="7"/>
      <c r="X36" s="7"/>
      <c r="Y36" s="7"/>
    </row>
    <row r="37" spans="5:25" ht="14.25">
      <c r="E37" s="1">
        <v>40.1</v>
      </c>
      <c r="H37" s="7"/>
      <c r="I37" s="7"/>
      <c r="J37" s="1"/>
      <c r="K37" s="1"/>
      <c r="L37" s="1"/>
      <c r="M37" s="1"/>
      <c r="N37" s="1"/>
      <c r="O37" s="1"/>
      <c r="P37" s="1"/>
      <c r="Q37" s="1"/>
      <c r="R37" s="1"/>
      <c r="S37" s="1"/>
      <c r="T37" s="1"/>
      <c r="U37" s="1"/>
      <c r="V37" s="1"/>
      <c r="W37" s="1"/>
      <c r="X37" s="1"/>
      <c r="Y37" s="1"/>
    </row>
    <row r="38" spans="2:8" ht="15">
      <c r="B38" s="2" t="s">
        <v>327</v>
      </c>
      <c r="C38" s="1">
        <v>89</v>
      </c>
      <c r="D38" s="1">
        <v>0.51</v>
      </c>
      <c r="E38" s="1">
        <v>5.2</v>
      </c>
      <c r="H38" s="4" t="s">
        <v>231</v>
      </c>
    </row>
    <row r="39" spans="1:5" ht="15">
      <c r="A39" s="30" t="s">
        <v>10</v>
      </c>
      <c r="B39" s="31"/>
      <c r="C39" s="9"/>
      <c r="D39" s="9"/>
      <c r="E39" s="1">
        <v>12.1</v>
      </c>
    </row>
    <row r="40" spans="1:5" ht="15">
      <c r="A40" s="30" t="s">
        <v>157</v>
      </c>
      <c r="B40" s="31"/>
      <c r="C40" s="9"/>
      <c r="D40" s="9"/>
      <c r="E40" s="1">
        <v>22.5</v>
      </c>
    </row>
    <row r="41" ht="14.25">
      <c r="E41" s="1">
        <v>36.5</v>
      </c>
    </row>
    <row r="42" ht="14.25">
      <c r="E42" s="1">
        <v>40.3</v>
      </c>
    </row>
    <row r="43" spans="2:5" ht="15">
      <c r="B43" s="2" t="s">
        <v>309</v>
      </c>
      <c r="C43" s="1">
        <v>90</v>
      </c>
      <c r="D43" s="1">
        <v>0.5</v>
      </c>
      <c r="E43" s="1">
        <v>4.2</v>
      </c>
    </row>
    <row r="44" ht="14.25">
      <c r="E44" s="1">
        <v>11.8</v>
      </c>
    </row>
    <row r="45" ht="14.25">
      <c r="E45" s="1">
        <v>22</v>
      </c>
    </row>
    <row r="46" ht="14.25">
      <c r="E46" s="1">
        <v>38.9</v>
      </c>
    </row>
    <row r="47" ht="14.25">
      <c r="E47" s="1">
        <v>45.7</v>
      </c>
    </row>
    <row r="48" spans="2:5" ht="15">
      <c r="B48" s="2" t="s">
        <v>207</v>
      </c>
      <c r="C48" s="1">
        <v>89</v>
      </c>
      <c r="D48" s="1">
        <v>0.51</v>
      </c>
      <c r="E48" s="1">
        <v>6.9</v>
      </c>
    </row>
    <row r="49" spans="1:5" ht="15">
      <c r="A49" s="30" t="s">
        <v>8</v>
      </c>
      <c r="B49" s="31"/>
      <c r="C49" s="9"/>
      <c r="D49" s="9"/>
      <c r="E49" s="1">
        <v>11.5</v>
      </c>
    </row>
    <row r="50" spans="1:5" ht="15">
      <c r="A50" s="30" t="s">
        <v>11</v>
      </c>
      <c r="B50" s="31"/>
      <c r="C50" s="9"/>
      <c r="D50" s="9"/>
      <c r="E50" s="1">
        <v>12.3</v>
      </c>
    </row>
    <row r="51" ht="14.25">
      <c r="E51" s="1">
        <v>34.7</v>
      </c>
    </row>
    <row r="52" ht="14.25">
      <c r="E52" s="1">
        <v>43.8</v>
      </c>
    </row>
    <row r="54" ht="15">
      <c r="A54" s="2"/>
    </row>
    <row r="96" ht="15">
      <c r="A96" s="2"/>
    </row>
    <row r="138" ht="15">
      <c r="A138" s="2"/>
    </row>
    <row r="148" ht="15">
      <c r="A148" s="2"/>
    </row>
    <row r="189" ht="15">
      <c r="A189" s="2"/>
    </row>
  </sheetData>
  <mergeCells count="11">
    <mergeCell ref="A4:B4"/>
    <mergeCell ref="A5:B5"/>
    <mergeCell ref="A9:B9"/>
    <mergeCell ref="A15:B15"/>
    <mergeCell ref="A14:B14"/>
    <mergeCell ref="A29:B29"/>
    <mergeCell ref="A39:B39"/>
    <mergeCell ref="A50:B50"/>
    <mergeCell ref="A30:B30"/>
    <mergeCell ref="A40:B40"/>
    <mergeCell ref="A49:B4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F49"/>
  <sheetViews>
    <sheetView workbookViewId="0" topLeftCell="A1">
      <pane xSplit="5" ySplit="1" topLeftCell="F2" activePane="bottomRight" state="frozen"/>
      <selection pane="topLeft" activeCell="A1" sqref="A1"/>
      <selection pane="topRight" activeCell="D1" sqref="D1"/>
      <selection pane="bottomLeft" activeCell="A2" sqref="A2"/>
      <selection pane="bottomRight" activeCell="B13" sqref="B13"/>
    </sheetView>
  </sheetViews>
  <sheetFormatPr defaultColWidth="9.00390625" defaultRowHeight="14.25"/>
  <cols>
    <col min="1" max="2" width="6.00390625" style="1" customWidth="1"/>
    <col min="3" max="3" width="5.625" style="1" customWidth="1"/>
    <col min="4" max="4" width="5.375" style="1" customWidth="1"/>
    <col min="5" max="5" width="4.125" style="3" customWidth="1"/>
    <col min="7" max="7" width="4.125" style="3" customWidth="1"/>
    <col min="8" max="8" width="4.875" style="3" customWidth="1"/>
    <col min="9" max="9" width="7.75390625" style="3" customWidth="1"/>
    <col min="10" max="10" width="4.875" style="3" customWidth="1"/>
    <col min="11" max="11" width="11.625" style="3" customWidth="1"/>
    <col min="12" max="33" width="4.875" style="3" customWidth="1"/>
    <col min="34" max="16384" width="6.00390625" style="3" customWidth="1"/>
  </cols>
  <sheetData>
    <row r="1" spans="1:6" ht="24">
      <c r="A1" s="18" t="s">
        <v>195</v>
      </c>
      <c r="B1" s="22" t="s">
        <v>196</v>
      </c>
      <c r="C1" s="19" t="s">
        <v>197</v>
      </c>
      <c r="D1" s="19" t="s">
        <v>199</v>
      </c>
      <c r="E1" s="2" t="s">
        <v>198</v>
      </c>
      <c r="F1" s="3"/>
    </row>
    <row r="3" spans="1:32" ht="15">
      <c r="A3" s="1" t="s">
        <v>0</v>
      </c>
      <c r="B3" s="2" t="s">
        <v>245</v>
      </c>
      <c r="C3" s="1">
        <v>88</v>
      </c>
      <c r="D3" s="1">
        <v>0.5</v>
      </c>
      <c r="E3" s="3">
        <v>4.5</v>
      </c>
      <c r="H3" s="1"/>
      <c r="I3" s="1"/>
      <c r="J3" s="1"/>
      <c r="K3" s="1"/>
      <c r="L3" s="1"/>
      <c r="M3" s="1"/>
      <c r="N3" s="1"/>
      <c r="O3" s="1"/>
      <c r="P3" s="1"/>
      <c r="Q3" s="1"/>
      <c r="R3" s="1"/>
      <c r="S3" s="1"/>
      <c r="T3" s="1"/>
      <c r="U3" s="1"/>
      <c r="V3" s="1"/>
      <c r="W3" s="1"/>
      <c r="X3" s="1"/>
      <c r="Y3" s="1"/>
      <c r="Z3" s="1"/>
      <c r="AA3" s="1"/>
      <c r="AB3" s="1"/>
      <c r="AC3" s="1"/>
      <c r="AD3" s="1"/>
      <c r="AE3" s="1"/>
      <c r="AF3" s="1"/>
    </row>
    <row r="4" spans="2:32" ht="14.25">
      <c r="B4" s="1" t="s">
        <v>282</v>
      </c>
      <c r="C4" s="9"/>
      <c r="E4" s="3">
        <v>13</v>
      </c>
      <c r="H4" s="7"/>
      <c r="I4" s="7"/>
      <c r="J4" s="7"/>
      <c r="K4" s="7"/>
      <c r="L4" s="7"/>
      <c r="M4" s="7"/>
      <c r="N4" s="7"/>
      <c r="O4" s="7"/>
      <c r="P4" s="7"/>
      <c r="Q4" s="7"/>
      <c r="R4" s="7"/>
      <c r="S4" s="7"/>
      <c r="T4" s="7"/>
      <c r="U4" s="7"/>
      <c r="V4" s="7"/>
      <c r="W4" s="7"/>
      <c r="X4" s="7"/>
      <c r="Y4" s="7"/>
      <c r="Z4" s="7"/>
      <c r="AA4" s="7"/>
      <c r="AB4" s="7"/>
      <c r="AC4" s="7"/>
      <c r="AD4" s="7"/>
      <c r="AE4" s="7"/>
      <c r="AF4" s="7"/>
    </row>
    <row r="5" spans="3:32" ht="14.25">
      <c r="C5" s="9"/>
      <c r="E5" s="3">
        <v>24</v>
      </c>
      <c r="H5" s="7"/>
      <c r="I5" s="7"/>
      <c r="J5" s="7"/>
      <c r="K5" s="7"/>
      <c r="L5" s="7"/>
      <c r="M5" s="7"/>
      <c r="N5" s="7"/>
      <c r="O5" s="7"/>
      <c r="P5" s="7"/>
      <c r="Q5" s="7"/>
      <c r="R5" s="7"/>
      <c r="S5" s="7"/>
      <c r="T5" s="7"/>
      <c r="U5" s="7"/>
      <c r="V5" s="7"/>
      <c r="W5" s="7"/>
      <c r="X5" s="7"/>
      <c r="Y5" s="7"/>
      <c r="Z5" s="7"/>
      <c r="AA5" s="7"/>
      <c r="AB5" s="7"/>
      <c r="AC5" s="7"/>
      <c r="AD5" s="7"/>
      <c r="AE5" s="7"/>
      <c r="AF5" s="7"/>
    </row>
    <row r="6" spans="5:32" ht="15">
      <c r="E6" s="3">
        <v>41.9</v>
      </c>
      <c r="H6" s="7"/>
      <c r="I6" s="7" t="s">
        <v>74</v>
      </c>
      <c r="J6" s="13" t="s">
        <v>281</v>
      </c>
      <c r="K6" s="7"/>
      <c r="L6" s="7"/>
      <c r="M6" s="7"/>
      <c r="N6" s="7"/>
      <c r="O6" s="7"/>
      <c r="P6" s="7"/>
      <c r="Q6" s="7"/>
      <c r="R6" s="7"/>
      <c r="S6" s="7"/>
      <c r="T6" s="7"/>
      <c r="U6" s="7"/>
      <c r="V6" s="7"/>
      <c r="W6" s="7"/>
      <c r="X6" s="7"/>
      <c r="Y6" s="7"/>
      <c r="Z6" s="7"/>
      <c r="AA6" s="7"/>
      <c r="AB6" s="7"/>
      <c r="AC6" s="7"/>
      <c r="AD6" s="7"/>
      <c r="AE6" s="7"/>
      <c r="AF6" s="7"/>
    </row>
    <row r="7" spans="5:32" ht="14.25">
      <c r="E7" s="3">
        <v>50</v>
      </c>
      <c r="H7" s="7"/>
      <c r="I7" s="7"/>
      <c r="J7" s="7"/>
      <c r="K7" s="7"/>
      <c r="L7" s="7"/>
      <c r="M7" s="7"/>
      <c r="N7" s="7"/>
      <c r="O7" s="7"/>
      <c r="P7" s="7"/>
      <c r="Q7" s="7"/>
      <c r="R7" s="7"/>
      <c r="S7" s="7"/>
      <c r="T7" s="7"/>
      <c r="U7" s="7"/>
      <c r="V7" s="7"/>
      <c r="W7" s="7"/>
      <c r="X7" s="7"/>
      <c r="Y7" s="7"/>
      <c r="Z7" s="7"/>
      <c r="AA7" s="7"/>
      <c r="AB7" s="7"/>
      <c r="AC7" s="7"/>
      <c r="AD7" s="7"/>
      <c r="AE7" s="7"/>
      <c r="AF7" s="7"/>
    </row>
    <row r="8" spans="2:32" ht="14.25">
      <c r="B8" s="1" t="s">
        <v>292</v>
      </c>
      <c r="C8" s="1">
        <v>87</v>
      </c>
      <c r="D8" s="1">
        <v>0.49</v>
      </c>
      <c r="E8" s="3">
        <v>6.8</v>
      </c>
      <c r="H8" s="7"/>
      <c r="I8" s="7" t="s">
        <v>42</v>
      </c>
      <c r="J8" s="7" t="s">
        <v>43</v>
      </c>
      <c r="K8" s="7" t="s">
        <v>44</v>
      </c>
      <c r="L8" s="7" t="s">
        <v>45</v>
      </c>
      <c r="M8" s="7"/>
      <c r="N8" s="7"/>
      <c r="O8" s="7"/>
      <c r="P8" s="7"/>
      <c r="Q8" s="7"/>
      <c r="R8" s="7"/>
      <c r="S8" s="7"/>
      <c r="T8" s="7"/>
      <c r="U8" s="7"/>
      <c r="V8" s="7"/>
      <c r="W8" s="7"/>
      <c r="X8" s="7"/>
      <c r="Y8" s="7"/>
      <c r="Z8" s="7"/>
      <c r="AA8" s="7"/>
      <c r="AB8" s="7"/>
      <c r="AC8" s="7"/>
      <c r="AD8" s="7"/>
      <c r="AE8" s="7"/>
      <c r="AF8" s="7"/>
    </row>
    <row r="9" spans="2:32" ht="15">
      <c r="B9" s="1" t="s">
        <v>283</v>
      </c>
      <c r="E9" s="3">
        <v>14.7</v>
      </c>
      <c r="H9" s="7"/>
      <c r="I9" s="7"/>
      <c r="J9" s="7"/>
      <c r="K9" s="7"/>
      <c r="L9" s="13" t="s">
        <v>203</v>
      </c>
      <c r="M9" s="7"/>
      <c r="N9" s="7"/>
      <c r="O9" s="7"/>
      <c r="P9" s="7"/>
      <c r="Q9" s="7"/>
      <c r="R9" s="7"/>
      <c r="S9" s="7"/>
      <c r="T9" s="7"/>
      <c r="U9" s="7"/>
      <c r="V9" s="7"/>
      <c r="W9" s="7"/>
      <c r="X9" s="7"/>
      <c r="Y9" s="7"/>
      <c r="Z9" s="7"/>
      <c r="AA9" s="7"/>
      <c r="AB9" s="7"/>
      <c r="AC9" s="7"/>
      <c r="AD9" s="7"/>
      <c r="AE9" s="7"/>
      <c r="AF9" s="7"/>
    </row>
    <row r="10" spans="5:32" ht="14.25">
      <c r="E10" s="3">
        <v>25.2</v>
      </c>
      <c r="H10" s="7"/>
      <c r="I10" s="10">
        <v>37014</v>
      </c>
      <c r="J10" s="7">
        <v>8</v>
      </c>
      <c r="K10" s="7">
        <v>40</v>
      </c>
      <c r="L10" s="7">
        <v>71</v>
      </c>
      <c r="M10" s="7"/>
      <c r="N10" s="7"/>
      <c r="O10" s="7"/>
      <c r="P10" s="7"/>
      <c r="Q10" s="7"/>
      <c r="R10" s="7"/>
      <c r="S10" s="7"/>
      <c r="T10" s="7"/>
      <c r="U10" s="7"/>
      <c r="V10" s="7"/>
      <c r="W10" s="7"/>
      <c r="X10" s="7"/>
      <c r="Y10" s="7"/>
      <c r="Z10" s="7"/>
      <c r="AA10" s="7"/>
      <c r="AB10" s="7"/>
      <c r="AC10" s="7"/>
      <c r="AD10" s="7"/>
      <c r="AE10" s="7"/>
      <c r="AF10" s="7"/>
    </row>
    <row r="11" spans="5:25" ht="14.25">
      <c r="E11" s="3">
        <v>40</v>
      </c>
      <c r="H11" s="6"/>
      <c r="I11" s="6"/>
      <c r="J11" s="6"/>
      <c r="K11" s="6"/>
      <c r="L11" s="6"/>
      <c r="M11" s="6" t="s">
        <v>75</v>
      </c>
      <c r="N11" s="6" t="s">
        <v>76</v>
      </c>
      <c r="O11" s="6" t="s">
        <v>77</v>
      </c>
      <c r="P11" s="6" t="s">
        <v>78</v>
      </c>
      <c r="Q11" s="6" t="s">
        <v>79</v>
      </c>
      <c r="R11" s="6" t="s">
        <v>80</v>
      </c>
      <c r="S11" s="6" t="s">
        <v>81</v>
      </c>
      <c r="T11" s="6" t="s">
        <v>82</v>
      </c>
      <c r="U11" s="6" t="s">
        <v>83</v>
      </c>
      <c r="V11" s="6" t="s">
        <v>84</v>
      </c>
      <c r="W11" s="6" t="s">
        <v>85</v>
      </c>
      <c r="X11" s="6" t="s">
        <v>86</v>
      </c>
      <c r="Y11" s="6"/>
    </row>
    <row r="12" spans="5:23" ht="15">
      <c r="E12" s="3">
        <v>49.2</v>
      </c>
      <c r="M12" s="4" t="s">
        <v>240</v>
      </c>
      <c r="W12" s="4" t="s">
        <v>241</v>
      </c>
    </row>
    <row r="13" spans="2:23" ht="15">
      <c r="B13" s="2" t="s">
        <v>321</v>
      </c>
      <c r="C13" s="1">
        <v>86</v>
      </c>
      <c r="D13" s="1">
        <v>0.5</v>
      </c>
      <c r="E13" s="3">
        <v>6.7</v>
      </c>
      <c r="H13" s="23" t="s">
        <v>210</v>
      </c>
      <c r="L13" s="3" t="s">
        <v>96</v>
      </c>
      <c r="M13" s="3">
        <v>6.1991672499999995</v>
      </c>
      <c r="N13" s="3">
        <v>4.637135925000001</v>
      </c>
      <c r="O13" s="3">
        <v>5.587091125000001</v>
      </c>
      <c r="P13" s="3">
        <v>6.771522624999999</v>
      </c>
      <c r="Q13" s="3">
        <v>8.54628625</v>
      </c>
      <c r="R13" s="3">
        <v>7.130504625</v>
      </c>
      <c r="S13" s="3">
        <v>5.428714487500001</v>
      </c>
      <c r="T13" s="3">
        <v>12.895976999999998</v>
      </c>
      <c r="U13" s="3">
        <v>13.995986875</v>
      </c>
      <c r="V13" s="3">
        <v>2.0381784775</v>
      </c>
      <c r="W13" s="3">
        <f>SUM(M13:V13)</f>
        <v>73.23056464</v>
      </c>
    </row>
    <row r="14" spans="2:23" ht="15">
      <c r="B14" s="1" t="s">
        <v>284</v>
      </c>
      <c r="E14" s="3">
        <v>17.2</v>
      </c>
      <c r="H14" s="23" t="s">
        <v>211</v>
      </c>
      <c r="L14" s="3" t="s">
        <v>88</v>
      </c>
      <c r="M14" s="3">
        <f>M13/$W$13</f>
        <v>0.08465273046131738</v>
      </c>
      <c r="N14" s="3">
        <f aca="true" t="shared" si="0" ref="N14:V14">N13/$W$13</f>
        <v>0.06332241117893968</v>
      </c>
      <c r="O14" s="3">
        <f t="shared" si="0"/>
        <v>0.07629452473111507</v>
      </c>
      <c r="P14" s="3">
        <f t="shared" si="0"/>
        <v>0.09246852947657402</v>
      </c>
      <c r="Q14" s="3">
        <f t="shared" si="0"/>
        <v>0.1167038147529433</v>
      </c>
      <c r="R14" s="3">
        <f t="shared" si="0"/>
        <v>0.09737060829796164</v>
      </c>
      <c r="S14" s="3">
        <f t="shared" si="0"/>
        <v>0.07413181250462089</v>
      </c>
      <c r="T14" s="3">
        <f t="shared" si="0"/>
        <v>0.17610101824827332</v>
      </c>
      <c r="U14" s="3">
        <f t="shared" si="0"/>
        <v>0.19112220346523331</v>
      </c>
      <c r="V14" s="3">
        <f t="shared" si="0"/>
        <v>0.027832346883021383</v>
      </c>
      <c r="W14" s="3">
        <f aca="true" t="shared" si="1" ref="W14:W19">SUM(M14:V14)</f>
        <v>1</v>
      </c>
    </row>
    <row r="15" spans="3:23" ht="15">
      <c r="C15" s="9"/>
      <c r="E15" s="3">
        <v>30.4</v>
      </c>
      <c r="H15" s="23" t="s">
        <v>212</v>
      </c>
      <c r="L15" s="3" t="s">
        <v>94</v>
      </c>
      <c r="M15" s="3">
        <v>18.37245</v>
      </c>
      <c r="N15" s="3">
        <v>25.921375249999997</v>
      </c>
      <c r="O15" s="3">
        <v>36.042125</v>
      </c>
      <c r="P15" s="3">
        <v>8.810214152109207</v>
      </c>
      <c r="Q15" s="3">
        <v>9.465995177325365</v>
      </c>
      <c r="R15" s="3">
        <v>9.528714010984128</v>
      </c>
      <c r="S15" s="3">
        <v>9.315457562140711</v>
      </c>
      <c r="T15" s="3">
        <v>9.903409755560663</v>
      </c>
      <c r="U15" s="3">
        <v>10.31897094985236</v>
      </c>
      <c r="V15" s="3">
        <v>10.454726706520635</v>
      </c>
      <c r="W15" s="3">
        <f t="shared" si="1"/>
        <v>148.13343856449308</v>
      </c>
    </row>
    <row r="16" spans="5:23" ht="15">
      <c r="E16" s="3">
        <v>47.2</v>
      </c>
      <c r="H16" s="23" t="s">
        <v>213</v>
      </c>
      <c r="L16" s="3" t="s">
        <v>95</v>
      </c>
      <c r="M16" s="3">
        <v>16.756250375</v>
      </c>
      <c r="N16" s="3">
        <v>45.989583375</v>
      </c>
      <c r="O16" s="3">
        <v>53.08333375</v>
      </c>
      <c r="P16" s="3">
        <v>60.133332499999995</v>
      </c>
      <c r="Q16" s="3">
        <v>52.208335</v>
      </c>
      <c r="R16" s="3">
        <v>44.72916625</v>
      </c>
      <c r="S16" s="3">
        <v>46.4479175</v>
      </c>
      <c r="T16" s="3">
        <v>58.4776775</v>
      </c>
      <c r="U16" s="3">
        <v>54.937501250000004</v>
      </c>
      <c r="V16" s="3">
        <v>42.0208325</v>
      </c>
      <c r="W16" s="3">
        <f t="shared" si="1"/>
        <v>474.78393</v>
      </c>
    </row>
    <row r="17" spans="5:23" ht="15">
      <c r="E17" s="3">
        <v>57.1</v>
      </c>
      <c r="H17" s="23" t="s">
        <v>214</v>
      </c>
      <c r="L17" s="3" t="s">
        <v>89</v>
      </c>
      <c r="M17" s="3">
        <f>3.1415926*0.49*10</f>
        <v>15.393803740000001</v>
      </c>
      <c r="N17" s="3">
        <f aca="true" t="shared" si="2" ref="N17:S17">3.1415926*0.49*5</f>
        <v>7.6969018700000005</v>
      </c>
      <c r="O17" s="3">
        <f t="shared" si="2"/>
        <v>7.6969018700000005</v>
      </c>
      <c r="P17" s="3">
        <f t="shared" si="2"/>
        <v>7.6969018700000005</v>
      </c>
      <c r="Q17" s="3">
        <f t="shared" si="2"/>
        <v>7.6969018700000005</v>
      </c>
      <c r="R17" s="3">
        <f t="shared" si="2"/>
        <v>7.6969018700000005</v>
      </c>
      <c r="S17" s="3">
        <f t="shared" si="2"/>
        <v>7.6969018700000005</v>
      </c>
      <c r="T17" s="3">
        <f>3.1415926*0.49*10</f>
        <v>15.393803740000001</v>
      </c>
      <c r="U17" s="3">
        <f>3.1415926*0.49*10</f>
        <v>15.393803740000001</v>
      </c>
      <c r="V17" s="3">
        <f>3.1415926*0.49*11</f>
        <v>16.933184114</v>
      </c>
      <c r="W17" s="3">
        <f t="shared" si="1"/>
        <v>109.29600655399999</v>
      </c>
    </row>
    <row r="18" spans="2:23" ht="15">
      <c r="B18" s="1" t="s">
        <v>289</v>
      </c>
      <c r="C18" s="1">
        <v>88</v>
      </c>
      <c r="D18" s="1">
        <v>0.49</v>
      </c>
      <c r="E18" s="3">
        <v>4</v>
      </c>
      <c r="H18" s="23" t="s">
        <v>215</v>
      </c>
      <c r="L18" s="3" t="s">
        <v>90</v>
      </c>
      <c r="M18" s="3">
        <f aca="true" t="shared" si="3" ref="M18:W18">M17/$W$17</f>
        <v>0.14084507042253525</v>
      </c>
      <c r="N18" s="3">
        <f t="shared" si="3"/>
        <v>0.07042253521126762</v>
      </c>
      <c r="O18" s="3">
        <f t="shared" si="3"/>
        <v>0.07042253521126762</v>
      </c>
      <c r="P18" s="3">
        <f t="shared" si="3"/>
        <v>0.07042253521126762</v>
      </c>
      <c r="Q18" s="3">
        <f t="shared" si="3"/>
        <v>0.07042253521126762</v>
      </c>
      <c r="R18" s="3">
        <f t="shared" si="3"/>
        <v>0.07042253521126762</v>
      </c>
      <c r="S18" s="3">
        <f t="shared" si="3"/>
        <v>0.07042253521126762</v>
      </c>
      <c r="T18" s="3">
        <f t="shared" si="3"/>
        <v>0.14084507042253525</v>
      </c>
      <c r="U18" s="3">
        <f t="shared" si="3"/>
        <v>0.14084507042253525</v>
      </c>
      <c r="V18" s="3">
        <f t="shared" si="3"/>
        <v>0.15492957746478875</v>
      </c>
      <c r="W18" s="3">
        <f t="shared" si="3"/>
        <v>1</v>
      </c>
    </row>
    <row r="19" spans="2:23" ht="15">
      <c r="B19" s="1" t="s">
        <v>284</v>
      </c>
      <c r="E19" s="3">
        <v>7.6</v>
      </c>
      <c r="H19" s="23" t="s">
        <v>216</v>
      </c>
      <c r="L19" s="3" t="s">
        <v>91</v>
      </c>
      <c r="M19" s="3">
        <v>0</v>
      </c>
      <c r="N19" s="3">
        <v>0</v>
      </c>
      <c r="O19" s="3">
        <v>0</v>
      </c>
      <c r="P19" s="3">
        <v>0</v>
      </c>
      <c r="Q19" s="3">
        <v>0</v>
      </c>
      <c r="R19" s="3">
        <v>0</v>
      </c>
      <c r="S19" s="3">
        <v>0</v>
      </c>
      <c r="T19" s="3">
        <v>0</v>
      </c>
      <c r="U19" s="3">
        <v>0</v>
      </c>
      <c r="V19" s="3">
        <v>0</v>
      </c>
      <c r="W19" s="3">
        <f t="shared" si="1"/>
        <v>0</v>
      </c>
    </row>
    <row r="20" spans="5:23" ht="15">
      <c r="E20" s="3">
        <v>17.8</v>
      </c>
      <c r="H20" s="23" t="s">
        <v>217</v>
      </c>
      <c r="L20" s="3" t="s">
        <v>92</v>
      </c>
      <c r="M20" s="3">
        <v>0</v>
      </c>
      <c r="N20" s="3">
        <v>0</v>
      </c>
      <c r="O20" s="3">
        <v>0</v>
      </c>
      <c r="P20" s="3">
        <v>0</v>
      </c>
      <c r="Q20" s="3">
        <v>0</v>
      </c>
      <c r="R20" s="3">
        <v>0</v>
      </c>
      <c r="S20" s="3">
        <v>0</v>
      </c>
      <c r="T20" s="3">
        <v>0</v>
      </c>
      <c r="U20" s="3">
        <v>0</v>
      </c>
      <c r="V20" s="3">
        <v>0</v>
      </c>
      <c r="W20" s="3">
        <v>0</v>
      </c>
    </row>
    <row r="21" spans="5:23" ht="15">
      <c r="E21" s="3">
        <v>31.7</v>
      </c>
      <c r="H21" s="23" t="s">
        <v>218</v>
      </c>
      <c r="L21" s="3" t="s">
        <v>93</v>
      </c>
      <c r="M21" s="3">
        <f>M13+M17+M19</f>
        <v>21.59297099</v>
      </c>
      <c r="N21" s="3">
        <f aca="true" t="shared" si="4" ref="N21:W21">N13+N17+N19</f>
        <v>12.334037795</v>
      </c>
      <c r="O21" s="3">
        <f t="shared" si="4"/>
        <v>13.283992995000002</v>
      </c>
      <c r="P21" s="3">
        <f t="shared" si="4"/>
        <v>14.468424495</v>
      </c>
      <c r="Q21" s="3">
        <f t="shared" si="4"/>
        <v>16.24318812</v>
      </c>
      <c r="R21" s="3">
        <f>R13+R17+R19</f>
        <v>14.827406495000002</v>
      </c>
      <c r="S21" s="3">
        <f t="shared" si="4"/>
        <v>13.1256163575</v>
      </c>
      <c r="T21" s="3">
        <f t="shared" si="4"/>
        <v>28.289780739999998</v>
      </c>
      <c r="U21" s="3">
        <f t="shared" si="4"/>
        <v>29.389790615000003</v>
      </c>
      <c r="V21" s="3">
        <f t="shared" si="4"/>
        <v>18.9713625915</v>
      </c>
      <c r="W21" s="3">
        <f t="shared" si="4"/>
        <v>182.52657119399998</v>
      </c>
    </row>
    <row r="22" spans="5:23" ht="15">
      <c r="E22" s="3">
        <v>44.5</v>
      </c>
      <c r="H22" s="23" t="s">
        <v>219</v>
      </c>
      <c r="L22" s="4" t="s">
        <v>191</v>
      </c>
      <c r="M22" s="3">
        <f>M21/$W$21</f>
        <v>0.11830042524082546</v>
      </c>
      <c r="N22" s="3">
        <f aca="true" t="shared" si="5" ref="N22:W22">N21/$W$21</f>
        <v>0.06757393027391426</v>
      </c>
      <c r="O22" s="3">
        <f t="shared" si="5"/>
        <v>0.07277840649776406</v>
      </c>
      <c r="P22" s="3">
        <f t="shared" si="5"/>
        <v>0.07926749733123573</v>
      </c>
      <c r="Q22" s="3">
        <f t="shared" si="5"/>
        <v>0.08899081385107367</v>
      </c>
      <c r="R22" s="3">
        <f t="shared" si="5"/>
        <v>0.08123423564035814</v>
      </c>
      <c r="S22" s="3">
        <f t="shared" si="5"/>
        <v>0.07191071563794031</v>
      </c>
      <c r="T22" s="3">
        <f t="shared" si="5"/>
        <v>0.1549899313559775</v>
      </c>
      <c r="U22" s="3">
        <f t="shared" si="5"/>
        <v>0.16101650528329273</v>
      </c>
      <c r="V22" s="3">
        <f t="shared" si="5"/>
        <v>0.10393753888761828</v>
      </c>
      <c r="W22" s="3">
        <f t="shared" si="5"/>
        <v>1</v>
      </c>
    </row>
    <row r="23" spans="2:32" ht="14.25">
      <c r="B23" s="1" t="s">
        <v>290</v>
      </c>
      <c r="C23" s="1">
        <v>87</v>
      </c>
      <c r="D23" s="1">
        <v>0.5</v>
      </c>
      <c r="E23" s="3">
        <v>4.8</v>
      </c>
      <c r="H23" s="7"/>
      <c r="I23" s="7"/>
      <c r="J23" s="7"/>
      <c r="K23" s="7"/>
      <c r="L23" s="7" t="s">
        <v>46</v>
      </c>
      <c r="M23" s="7" t="s">
        <v>47</v>
      </c>
      <c r="N23" s="11">
        <v>37021</v>
      </c>
      <c r="O23" s="11">
        <v>37179</v>
      </c>
      <c r="P23" s="7" t="s">
        <v>48</v>
      </c>
      <c r="Q23" s="7" t="s">
        <v>49</v>
      </c>
      <c r="R23" s="7" t="s">
        <v>50</v>
      </c>
      <c r="S23" s="7" t="s">
        <v>51</v>
      </c>
      <c r="T23" s="7" t="s">
        <v>52</v>
      </c>
      <c r="U23" s="7" t="s">
        <v>53</v>
      </c>
      <c r="V23" s="7" t="s">
        <v>54</v>
      </c>
      <c r="W23" s="7" t="s">
        <v>55</v>
      </c>
      <c r="X23" s="7" t="s">
        <v>56</v>
      </c>
      <c r="Y23" s="7" t="s">
        <v>57</v>
      </c>
      <c r="Z23" s="7" t="s">
        <v>58</v>
      </c>
      <c r="AA23" s="7" t="s">
        <v>59</v>
      </c>
      <c r="AB23" s="7" t="s">
        <v>60</v>
      </c>
      <c r="AC23" s="7" t="s">
        <v>61</v>
      </c>
      <c r="AD23" s="7" t="s">
        <v>62</v>
      </c>
      <c r="AE23" s="7" t="s">
        <v>63</v>
      </c>
      <c r="AF23" s="7"/>
    </row>
    <row r="24" spans="2:32" ht="15">
      <c r="B24" s="1" t="s">
        <v>285</v>
      </c>
      <c r="E24" s="3">
        <v>12.6</v>
      </c>
      <c r="H24" s="7"/>
      <c r="I24" s="7"/>
      <c r="J24" s="7"/>
      <c r="K24" s="7"/>
      <c r="L24" s="13" t="s">
        <v>234</v>
      </c>
      <c r="M24" s="7"/>
      <c r="N24" s="12"/>
      <c r="O24" s="12"/>
      <c r="P24" s="7"/>
      <c r="Q24" s="7"/>
      <c r="R24" s="7"/>
      <c r="S24" s="7"/>
      <c r="T24" s="7"/>
      <c r="U24" s="7"/>
      <c r="V24" s="7"/>
      <c r="W24" s="7"/>
      <c r="X24" s="7"/>
      <c r="Y24" s="7"/>
      <c r="Z24" s="7"/>
      <c r="AA24" s="7"/>
      <c r="AB24" s="7"/>
      <c r="AC24" s="7"/>
      <c r="AD24" s="7"/>
      <c r="AE24" s="13" t="s">
        <v>242</v>
      </c>
      <c r="AF24" s="7"/>
    </row>
    <row r="25" spans="5:32" ht="15">
      <c r="E25" s="3">
        <v>21.5</v>
      </c>
      <c r="H25" s="13" t="s">
        <v>220</v>
      </c>
      <c r="I25" s="7"/>
      <c r="J25" s="7"/>
      <c r="K25" s="7"/>
      <c r="L25" s="7" t="s">
        <v>97</v>
      </c>
      <c r="M25" s="7">
        <v>1.1015832875</v>
      </c>
      <c r="N25" s="7">
        <v>3.1815291250000004</v>
      </c>
      <c r="O25" s="7">
        <v>1.774525125</v>
      </c>
      <c r="P25" s="7">
        <v>2.7807190000000004</v>
      </c>
      <c r="Q25" s="7">
        <v>3.2081545</v>
      </c>
      <c r="R25" s="7">
        <v>2.5229706249999997</v>
      </c>
      <c r="S25" s="7">
        <v>2.3040445000000003</v>
      </c>
      <c r="T25" s="7">
        <v>3.51794125</v>
      </c>
      <c r="U25" s="7">
        <v>2.1457212500000002</v>
      </c>
      <c r="V25" s="7">
        <v>2.095647875</v>
      </c>
      <c r="W25" s="7">
        <v>4.238887</v>
      </c>
      <c r="X25" s="7">
        <v>5.43194075</v>
      </c>
      <c r="Y25" s="7">
        <v>6.286522625</v>
      </c>
      <c r="Z25" s="7">
        <v>9.136832875</v>
      </c>
      <c r="AA25" s="7">
        <v>12.027822875</v>
      </c>
      <c r="AB25" s="7">
        <v>8.22643375</v>
      </c>
      <c r="AC25" s="7">
        <v>2.948287375</v>
      </c>
      <c r="AD25" s="7">
        <v>0</v>
      </c>
      <c r="AE25" s="7">
        <f>SUM(M25:AD25)</f>
        <v>72.9295637875</v>
      </c>
      <c r="AF25" s="7"/>
    </row>
    <row r="26" spans="5:32" ht="15">
      <c r="E26" s="3">
        <v>38.7</v>
      </c>
      <c r="H26" s="13" t="s">
        <v>221</v>
      </c>
      <c r="I26" s="7"/>
      <c r="J26" s="7"/>
      <c r="K26" s="7"/>
      <c r="L26" s="7" t="s">
        <v>64</v>
      </c>
      <c r="M26" s="7">
        <v>0</v>
      </c>
      <c r="N26" s="7">
        <v>0</v>
      </c>
      <c r="O26" s="7">
        <v>0</v>
      </c>
      <c r="P26" s="7">
        <v>0</v>
      </c>
      <c r="Q26" s="7">
        <v>0</v>
      </c>
      <c r="R26" s="7">
        <v>0</v>
      </c>
      <c r="S26" s="7">
        <v>0</v>
      </c>
      <c r="T26" s="7">
        <v>0</v>
      </c>
      <c r="U26" s="7">
        <v>0</v>
      </c>
      <c r="V26" s="7">
        <v>0</v>
      </c>
      <c r="W26" s="7">
        <v>0</v>
      </c>
      <c r="X26" s="7">
        <v>0</v>
      </c>
      <c r="Y26" s="7">
        <v>0</v>
      </c>
      <c r="Z26" s="7">
        <v>0</v>
      </c>
      <c r="AA26" s="7">
        <v>0</v>
      </c>
      <c r="AB26" s="7">
        <v>0</v>
      </c>
      <c r="AC26" s="3">
        <v>0</v>
      </c>
      <c r="AD26" s="7">
        <f>3.1415*0.5*71</f>
        <v>111.52325</v>
      </c>
      <c r="AE26" s="7">
        <f>SUM(M14:AD14)</f>
        <v>2</v>
      </c>
      <c r="AF26" s="7"/>
    </row>
    <row r="27" spans="5:32" ht="15">
      <c r="E27" s="3">
        <v>49.6</v>
      </c>
      <c r="H27" s="13" t="s">
        <v>222</v>
      </c>
      <c r="I27" s="7"/>
      <c r="J27" s="7"/>
      <c r="K27" s="7"/>
      <c r="L27" s="7" t="s">
        <v>65</v>
      </c>
      <c r="M27" s="7">
        <f>M25+M26</f>
        <v>1.1015832875</v>
      </c>
      <c r="N27" s="7">
        <v>15.7776</v>
      </c>
      <c r="O27" s="7">
        <v>15.9637</v>
      </c>
      <c r="P27" s="7">
        <v>9.7297</v>
      </c>
      <c r="Q27" s="7">
        <v>13.0172</v>
      </c>
      <c r="R27" s="7">
        <v>15.175</v>
      </c>
      <c r="S27" s="7">
        <v>9.0759</v>
      </c>
      <c r="T27" s="7">
        <v>11.6235</v>
      </c>
      <c r="U27" s="7">
        <v>7.523</v>
      </c>
      <c r="V27" s="7">
        <v>14.344</v>
      </c>
      <c r="W27" s="7">
        <v>9.358</v>
      </c>
      <c r="X27" s="7">
        <v>15.0713</v>
      </c>
      <c r="Y27" s="7">
        <v>8.5356</v>
      </c>
      <c r="Z27" s="7">
        <v>9.2383</v>
      </c>
      <c r="AA27" s="7">
        <v>10.0258</v>
      </c>
      <c r="AB27" s="7">
        <v>5.6752</v>
      </c>
      <c r="AC27" s="7">
        <f>AC25+AC26</f>
        <v>2.948287375</v>
      </c>
      <c r="AD27" s="7">
        <f>AD26+AD25</f>
        <v>111.52325</v>
      </c>
      <c r="AE27" s="7">
        <f>SUM(M27:AD27)</f>
        <v>285.7069206625</v>
      </c>
      <c r="AF27" s="7"/>
    </row>
    <row r="28" spans="2:32" ht="15">
      <c r="B28" s="2" t="s">
        <v>325</v>
      </c>
      <c r="C28" s="1">
        <v>86</v>
      </c>
      <c r="D28" s="1">
        <v>0.49</v>
      </c>
      <c r="E28" s="3">
        <v>5.6</v>
      </c>
      <c r="H28" s="13" t="s">
        <v>223</v>
      </c>
      <c r="I28" s="7"/>
      <c r="J28" s="7"/>
      <c r="K28" s="7"/>
      <c r="L28" s="7" t="s">
        <v>66</v>
      </c>
      <c r="M28" s="7">
        <v>0</v>
      </c>
      <c r="N28" s="7">
        <v>0</v>
      </c>
      <c r="O28" s="7">
        <v>0</v>
      </c>
      <c r="P28" s="7">
        <v>0</v>
      </c>
      <c r="Q28" s="7">
        <v>0</v>
      </c>
      <c r="R28" s="7">
        <v>0</v>
      </c>
      <c r="S28" s="7">
        <v>0</v>
      </c>
      <c r="T28" s="7">
        <v>0</v>
      </c>
      <c r="U28" s="7">
        <v>0</v>
      </c>
      <c r="V28" s="7">
        <v>0</v>
      </c>
      <c r="W28" s="7">
        <v>0</v>
      </c>
      <c r="X28" s="7">
        <v>0</v>
      </c>
      <c r="Y28" s="7">
        <v>0</v>
      </c>
      <c r="Z28" s="7">
        <v>0</v>
      </c>
      <c r="AA28" s="7">
        <v>0</v>
      </c>
      <c r="AB28" s="7">
        <v>0</v>
      </c>
      <c r="AC28" s="3">
        <v>0</v>
      </c>
      <c r="AD28" s="7">
        <v>0</v>
      </c>
      <c r="AE28" s="7">
        <v>0</v>
      </c>
      <c r="AF28" s="7"/>
    </row>
    <row r="29" spans="2:32" ht="15">
      <c r="B29" s="1" t="s">
        <v>286</v>
      </c>
      <c r="C29" s="9"/>
      <c r="E29" s="3">
        <v>12.9</v>
      </c>
      <c r="H29" s="13" t="s">
        <v>224</v>
      </c>
      <c r="I29" s="7"/>
      <c r="J29" s="7"/>
      <c r="K29" s="7"/>
      <c r="L29" s="7" t="s">
        <v>67</v>
      </c>
      <c r="M29" s="7">
        <f aca="true" t="shared" si="6" ref="M29:AB29">M27+M28</f>
        <v>1.1015832875</v>
      </c>
      <c r="N29" s="7">
        <f t="shared" si="6"/>
        <v>15.7776</v>
      </c>
      <c r="O29" s="7">
        <f t="shared" si="6"/>
        <v>15.9637</v>
      </c>
      <c r="P29" s="7">
        <f t="shared" si="6"/>
        <v>9.7297</v>
      </c>
      <c r="Q29" s="7">
        <f t="shared" si="6"/>
        <v>13.0172</v>
      </c>
      <c r="R29" s="7">
        <f t="shared" si="6"/>
        <v>15.175</v>
      </c>
      <c r="S29" s="7">
        <f t="shared" si="6"/>
        <v>9.0759</v>
      </c>
      <c r="T29" s="7">
        <f t="shared" si="6"/>
        <v>11.6235</v>
      </c>
      <c r="U29" s="7">
        <f t="shared" si="6"/>
        <v>7.523</v>
      </c>
      <c r="V29" s="7">
        <f t="shared" si="6"/>
        <v>14.344</v>
      </c>
      <c r="W29" s="7">
        <f t="shared" si="6"/>
        <v>9.358</v>
      </c>
      <c r="X29" s="7">
        <f t="shared" si="6"/>
        <v>15.0713</v>
      </c>
      <c r="Y29" s="7">
        <f t="shared" si="6"/>
        <v>8.5356</v>
      </c>
      <c r="Z29" s="7">
        <f t="shared" si="6"/>
        <v>9.2383</v>
      </c>
      <c r="AA29" s="7">
        <f t="shared" si="6"/>
        <v>10.0258</v>
      </c>
      <c r="AB29" s="7">
        <f t="shared" si="6"/>
        <v>5.6752</v>
      </c>
      <c r="AC29" s="7">
        <f>AC27+AD28</f>
        <v>2.948287375</v>
      </c>
      <c r="AD29" s="7">
        <f>AD27+AD28</f>
        <v>111.52325</v>
      </c>
      <c r="AE29" s="7">
        <f>AE27+AE28</f>
        <v>285.7069206625</v>
      </c>
      <c r="AF29" s="7"/>
    </row>
    <row r="30" spans="3:32" ht="15">
      <c r="C30" s="9"/>
      <c r="E30" s="3">
        <v>22.4</v>
      </c>
      <c r="H30" s="13" t="s">
        <v>225</v>
      </c>
      <c r="I30" s="7"/>
      <c r="J30" s="7"/>
      <c r="K30" s="7"/>
      <c r="L30" s="7" t="s">
        <v>68</v>
      </c>
      <c r="M30" s="7">
        <f>M25/AE25</f>
        <v>0.015104756292108928</v>
      </c>
      <c r="N30" s="7">
        <f>N25/AE25</f>
        <v>0.04362468332143389</v>
      </c>
      <c r="O30" s="7">
        <f>O25/AE25</f>
        <v>0.024332040846570244</v>
      </c>
      <c r="P30" s="7">
        <f>P25/AE25</f>
        <v>0.03812883082781596</v>
      </c>
      <c r="Q30" s="7">
        <f>Q25/AE25</f>
        <v>0.04398976674737594</v>
      </c>
      <c r="R30" s="7">
        <f>R25/AE25</f>
        <v>0.034594621083314805</v>
      </c>
      <c r="S30" s="7">
        <f>S25/AE25</f>
        <v>0.031592736612458795</v>
      </c>
      <c r="T30" s="7">
        <f>T25/AE25</f>
        <v>0.048237519426970285</v>
      </c>
      <c r="U30" s="7">
        <f>U25/AE25</f>
        <v>0.029421830305363394</v>
      </c>
      <c r="V30" s="7">
        <f>V25/AE25</f>
        <v>0.028735231176018502</v>
      </c>
      <c r="W30" s="7">
        <f>W25/AE25</f>
        <v>0.05812302692980782</v>
      </c>
      <c r="X30" s="7">
        <f>X25/AE25</f>
        <v>0.0744820134373411</v>
      </c>
      <c r="Y30" s="7">
        <f>Y25/AE25</f>
        <v>0.08619992083481376</v>
      </c>
      <c r="Z30" s="7">
        <f>Z25/AE25</f>
        <v>0.12528297716989822</v>
      </c>
      <c r="AA30" s="7">
        <f>AA25/AE25</f>
        <v>0.16492382855937976</v>
      </c>
      <c r="AB30" s="7">
        <f>AB25/AE25</f>
        <v>0.11279971143074348</v>
      </c>
      <c r="AC30" s="7">
        <f>AC25/AE25</f>
        <v>0.040426504998585105</v>
      </c>
      <c r="AD30" s="7">
        <f>AD25/AE25</f>
        <v>0</v>
      </c>
      <c r="AE30" s="7">
        <f>AE25/AE25</f>
        <v>1</v>
      </c>
      <c r="AF30" s="7"/>
    </row>
    <row r="31" spans="5:32" ht="15">
      <c r="E31" s="3">
        <v>39.5</v>
      </c>
      <c r="H31" s="13" t="s">
        <v>226</v>
      </c>
      <c r="I31" s="7"/>
      <c r="J31" s="7"/>
      <c r="K31" s="7"/>
      <c r="L31" s="7" t="s">
        <v>69</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1</v>
      </c>
      <c r="AE31" s="7"/>
      <c r="AF31" s="7"/>
    </row>
    <row r="32" spans="5:32" ht="15">
      <c r="E32" s="3">
        <v>46</v>
      </c>
      <c r="H32" s="13" t="s">
        <v>227</v>
      </c>
      <c r="I32" s="7"/>
      <c r="J32" s="7"/>
      <c r="K32" s="7"/>
      <c r="L32" s="7" t="s">
        <v>70</v>
      </c>
      <c r="M32" s="3">
        <f aca="true" t="shared" si="7" ref="M32:AE32">M27/$AE$27</f>
        <v>0.0038556408957320246</v>
      </c>
      <c r="N32" s="3">
        <f t="shared" si="7"/>
        <v>0.055223023521497994</v>
      </c>
      <c r="O32" s="3">
        <f t="shared" si="7"/>
        <v>0.0558743903122235</v>
      </c>
      <c r="P32" s="3">
        <f t="shared" si="7"/>
        <v>0.034054827854497455</v>
      </c>
      <c r="Q32" s="3">
        <f t="shared" si="7"/>
        <v>0.04556137446658831</v>
      </c>
      <c r="R32" s="3">
        <f t="shared" si="7"/>
        <v>0.053113869152388964</v>
      </c>
      <c r="S32" s="3">
        <f t="shared" si="7"/>
        <v>0.031766468865908865</v>
      </c>
      <c r="T32" s="3">
        <f t="shared" si="7"/>
        <v>0.04068329872110663</v>
      </c>
      <c r="U32" s="3">
        <f t="shared" si="7"/>
        <v>0.026331178756732927</v>
      </c>
      <c r="V32" s="3">
        <f t="shared" si="7"/>
        <v>0.05020529417607033</v>
      </c>
      <c r="W32" s="3">
        <f t="shared" si="7"/>
        <v>0.032753844318158545</v>
      </c>
      <c r="X32" s="3">
        <f t="shared" si="7"/>
        <v>0.052750909796138376</v>
      </c>
      <c r="Y32" s="3">
        <f t="shared" si="7"/>
        <v>0.029875370117768123</v>
      </c>
      <c r="Z32" s="3">
        <f t="shared" si="7"/>
        <v>0.03233488351832059</v>
      </c>
      <c r="AA32" s="3">
        <f t="shared" si="7"/>
        <v>0.035091204569886084</v>
      </c>
      <c r="AB32" s="3">
        <f t="shared" si="7"/>
        <v>0.01986371204043742</v>
      </c>
      <c r="AC32" s="3">
        <f t="shared" si="7"/>
        <v>0.010319271819399692</v>
      </c>
      <c r="AD32" s="3">
        <f t="shared" si="7"/>
        <v>0.39034143709714414</v>
      </c>
      <c r="AE32" s="3">
        <f t="shared" si="7"/>
        <v>1</v>
      </c>
      <c r="AF32" s="7"/>
    </row>
    <row r="33" spans="2:32" ht="15">
      <c r="B33" s="1" t="s">
        <v>291</v>
      </c>
      <c r="C33" s="1">
        <v>88</v>
      </c>
      <c r="D33" s="1">
        <v>0.48</v>
      </c>
      <c r="E33" s="3">
        <v>8</v>
      </c>
      <c r="H33" s="13" t="s">
        <v>228</v>
      </c>
      <c r="I33" s="7"/>
      <c r="J33" s="7"/>
      <c r="K33" s="7"/>
      <c r="L33" s="7" t="s">
        <v>71</v>
      </c>
      <c r="M33" s="7">
        <f>M30</f>
        <v>0.015104756292108928</v>
      </c>
      <c r="N33" s="7">
        <f>M30+N30</f>
        <v>0.05872943961354282</v>
      </c>
      <c r="O33" s="7">
        <f aca="true" t="shared" si="8" ref="O33:AD33">N33+O30</f>
        <v>0.08306148046011307</v>
      </c>
      <c r="P33" s="7">
        <f t="shared" si="8"/>
        <v>0.12119031128792902</v>
      </c>
      <c r="Q33" s="7">
        <f t="shared" si="8"/>
        <v>0.16518007803530496</v>
      </c>
      <c r="R33" s="7">
        <f t="shared" si="8"/>
        <v>0.19977469911861978</v>
      </c>
      <c r="S33" s="7">
        <f t="shared" si="8"/>
        <v>0.23136743573107857</v>
      </c>
      <c r="T33" s="7">
        <f t="shared" si="8"/>
        <v>0.27960495515804884</v>
      </c>
      <c r="U33" s="7">
        <f t="shared" si="8"/>
        <v>0.3090267854634122</v>
      </c>
      <c r="V33" s="7">
        <f t="shared" si="8"/>
        <v>0.33776201663943073</v>
      </c>
      <c r="W33" s="7">
        <f t="shared" si="8"/>
        <v>0.39588504356923854</v>
      </c>
      <c r="X33" s="7">
        <f t="shared" si="8"/>
        <v>0.47036705700657966</v>
      </c>
      <c r="Y33" s="7">
        <f t="shared" si="8"/>
        <v>0.5565669778413934</v>
      </c>
      <c r="Z33" s="7">
        <f t="shared" si="8"/>
        <v>0.6818499550112916</v>
      </c>
      <c r="AA33" s="7">
        <f t="shared" si="8"/>
        <v>0.8467737835706715</v>
      </c>
      <c r="AB33" s="7">
        <f t="shared" si="8"/>
        <v>0.959573495001415</v>
      </c>
      <c r="AC33" s="7">
        <f t="shared" si="8"/>
        <v>1</v>
      </c>
      <c r="AD33" s="7">
        <f t="shared" si="8"/>
        <v>1</v>
      </c>
      <c r="AE33" s="7"/>
      <c r="AF33" s="7"/>
    </row>
    <row r="34" spans="2:32" ht="15">
      <c r="B34" s="1" t="s">
        <v>287</v>
      </c>
      <c r="E34" s="3">
        <v>12</v>
      </c>
      <c r="H34" s="13" t="s">
        <v>230</v>
      </c>
      <c r="I34" s="7"/>
      <c r="J34" s="7"/>
      <c r="K34" s="7"/>
      <c r="L34" s="7" t="s">
        <v>72</v>
      </c>
      <c r="M34" s="7">
        <f aca="true" t="shared" si="9" ref="M34:AC34">M33+M31</f>
        <v>0.015104756292108928</v>
      </c>
      <c r="N34" s="13">
        <f t="shared" si="9"/>
        <v>0.05872943961354282</v>
      </c>
      <c r="O34" s="13">
        <f t="shared" si="9"/>
        <v>0.08306148046011307</v>
      </c>
      <c r="P34" s="13">
        <f t="shared" si="9"/>
        <v>0.12119031128792902</v>
      </c>
      <c r="Q34" s="13">
        <f t="shared" si="9"/>
        <v>0.16518007803530496</v>
      </c>
      <c r="R34" s="13">
        <f t="shared" si="9"/>
        <v>0.19977469911861978</v>
      </c>
      <c r="S34" s="13">
        <f t="shared" si="9"/>
        <v>0.23136743573107857</v>
      </c>
      <c r="T34" s="13">
        <f t="shared" si="9"/>
        <v>0.27960495515804884</v>
      </c>
      <c r="U34" s="13">
        <f t="shared" si="9"/>
        <v>0.3090267854634122</v>
      </c>
      <c r="V34" s="13">
        <f t="shared" si="9"/>
        <v>0.33776201663943073</v>
      </c>
      <c r="W34" s="13">
        <f t="shared" si="9"/>
        <v>0.39588504356923854</v>
      </c>
      <c r="X34" s="13">
        <f t="shared" si="9"/>
        <v>0.47036705700657966</v>
      </c>
      <c r="Y34" s="13">
        <f t="shared" si="9"/>
        <v>0.5565669778413934</v>
      </c>
      <c r="Z34" s="13">
        <f t="shared" si="9"/>
        <v>0.6818499550112916</v>
      </c>
      <c r="AA34" s="13">
        <f t="shared" si="9"/>
        <v>0.8467737835706715</v>
      </c>
      <c r="AB34" s="13">
        <f t="shared" si="9"/>
        <v>0.959573495001415</v>
      </c>
      <c r="AC34" s="13">
        <f t="shared" si="9"/>
        <v>1</v>
      </c>
      <c r="AD34" s="13"/>
      <c r="AE34" s="13"/>
      <c r="AF34" s="13"/>
    </row>
    <row r="35" spans="5:32" ht="14.25">
      <c r="E35" s="3">
        <v>26.5</v>
      </c>
      <c r="H35" s="7" t="s">
        <v>229</v>
      </c>
      <c r="I35" s="7"/>
      <c r="J35" s="7"/>
      <c r="K35" s="7"/>
      <c r="L35" s="7" t="s">
        <v>73</v>
      </c>
      <c r="M35" s="7">
        <f>M32</f>
        <v>0.0038556408957320246</v>
      </c>
      <c r="N35" s="7">
        <f aca="true" t="shared" si="10" ref="N35:AD35">M35+N32</f>
        <v>0.05907866441723002</v>
      </c>
      <c r="O35" s="7">
        <f t="shared" si="10"/>
        <v>0.11495305472945352</v>
      </c>
      <c r="P35" s="7">
        <f t="shared" si="10"/>
        <v>0.14900788258395098</v>
      </c>
      <c r="Q35" s="7">
        <f t="shared" si="10"/>
        <v>0.1945692570505393</v>
      </c>
      <c r="R35" s="7">
        <f t="shared" si="10"/>
        <v>0.24768312620292826</v>
      </c>
      <c r="S35" s="7">
        <f t="shared" si="10"/>
        <v>0.27944959506883715</v>
      </c>
      <c r="T35" s="7">
        <f t="shared" si="10"/>
        <v>0.3201328937899438</v>
      </c>
      <c r="U35" s="7">
        <f t="shared" si="10"/>
        <v>0.3464640725466767</v>
      </c>
      <c r="V35" s="7">
        <f t="shared" si="10"/>
        <v>0.39666936672274705</v>
      </c>
      <c r="W35" s="7">
        <f t="shared" si="10"/>
        <v>0.4294232110409056</v>
      </c>
      <c r="X35" s="7">
        <f t="shared" si="10"/>
        <v>0.482174120837044</v>
      </c>
      <c r="Y35" s="7">
        <f t="shared" si="10"/>
        <v>0.5120494909548121</v>
      </c>
      <c r="Z35" s="7">
        <f t="shared" si="10"/>
        <v>0.5443843744731327</v>
      </c>
      <c r="AA35" s="7">
        <f t="shared" si="10"/>
        <v>0.5794755790430188</v>
      </c>
      <c r="AB35" s="7">
        <f t="shared" si="10"/>
        <v>0.5993392910834563</v>
      </c>
      <c r="AC35" s="7">
        <f t="shared" si="10"/>
        <v>0.609658562902856</v>
      </c>
      <c r="AD35" s="7">
        <f t="shared" si="10"/>
        <v>1.0000000000000002</v>
      </c>
      <c r="AE35" s="7"/>
      <c r="AF35" s="7"/>
    </row>
    <row r="36" spans="5:25" ht="14.25">
      <c r="E36" s="3">
        <v>43.5</v>
      </c>
      <c r="H36" s="7"/>
      <c r="I36" s="7"/>
      <c r="J36" s="7"/>
      <c r="K36" s="7"/>
      <c r="L36" s="7"/>
      <c r="M36" s="7"/>
      <c r="N36" s="7"/>
      <c r="O36" s="7"/>
      <c r="P36" s="7"/>
      <c r="Q36" s="7"/>
      <c r="R36" s="7"/>
      <c r="S36" s="7"/>
      <c r="T36" s="7"/>
      <c r="U36" s="7"/>
      <c r="V36" s="7"/>
      <c r="W36" s="7"/>
      <c r="X36" s="7"/>
      <c r="Y36" s="7"/>
    </row>
    <row r="37" spans="5:25" ht="15">
      <c r="E37" s="3">
        <v>49.7</v>
      </c>
      <c r="H37" s="4" t="s">
        <v>231</v>
      </c>
      <c r="J37" s="1"/>
      <c r="K37" s="1"/>
      <c r="L37" s="1"/>
      <c r="M37" s="1"/>
      <c r="N37" s="1"/>
      <c r="O37" s="1"/>
      <c r="P37" s="1"/>
      <c r="Q37" s="1"/>
      <c r="R37" s="1"/>
      <c r="S37" s="1"/>
      <c r="T37" s="1"/>
      <c r="U37" s="1"/>
      <c r="V37" s="1"/>
      <c r="W37" s="1"/>
      <c r="X37" s="1"/>
      <c r="Y37" s="1"/>
    </row>
    <row r="38" spans="2:8" ht="15">
      <c r="B38" s="2" t="s">
        <v>326</v>
      </c>
      <c r="C38" s="1">
        <v>87</v>
      </c>
      <c r="D38" s="1">
        <v>0.5</v>
      </c>
      <c r="E38" s="3">
        <v>10</v>
      </c>
      <c r="H38" s="17"/>
    </row>
    <row r="39" spans="2:5" ht="14.25">
      <c r="B39" s="1" t="s">
        <v>288</v>
      </c>
      <c r="C39" s="9"/>
      <c r="E39" s="3">
        <v>21</v>
      </c>
    </row>
    <row r="40" spans="3:5" ht="14.25">
      <c r="C40" s="9"/>
      <c r="E40" s="3">
        <v>32.5</v>
      </c>
    </row>
    <row r="41" ht="14.25">
      <c r="E41" s="3">
        <v>48.5</v>
      </c>
    </row>
    <row r="42" ht="14.25">
      <c r="E42" s="3">
        <v>57</v>
      </c>
    </row>
    <row r="48" ht="14.25">
      <c r="C48" s="9"/>
    </row>
    <row r="49" ht="14.25">
      <c r="C49" s="9"/>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F188"/>
  <sheetViews>
    <sheetView workbookViewId="0" topLeftCell="A1">
      <pane xSplit="5" ySplit="1" topLeftCell="F2" activePane="bottomRight" state="frozen"/>
      <selection pane="topLeft" activeCell="A1" sqref="A1"/>
      <selection pane="topRight" activeCell="D1" sqref="D1"/>
      <selection pane="bottomLeft" activeCell="A2" sqref="A2"/>
      <selection pane="bottomRight" activeCell="B17" sqref="B17"/>
    </sheetView>
  </sheetViews>
  <sheetFormatPr defaultColWidth="9.00390625" defaultRowHeight="14.25"/>
  <cols>
    <col min="1" max="2" width="5.75390625" style="1" customWidth="1"/>
    <col min="3" max="3" width="5.625" style="1" customWidth="1"/>
    <col min="4" max="5" width="4.25390625" style="1" customWidth="1"/>
    <col min="6" max="7" width="4.25390625" style="3" customWidth="1"/>
    <col min="8" max="8" width="4.875" style="3" customWidth="1"/>
    <col min="9" max="9" width="7.75390625" style="3" customWidth="1"/>
    <col min="10" max="10" width="4.875" style="3" customWidth="1"/>
    <col min="11" max="11" width="19.00390625" style="3" customWidth="1"/>
    <col min="12" max="33" width="4.875" style="3" customWidth="1"/>
    <col min="34" max="16384" width="4.25390625" style="3" customWidth="1"/>
  </cols>
  <sheetData>
    <row r="1" spans="1:5" ht="24">
      <c r="A1" s="18" t="s">
        <v>195</v>
      </c>
      <c r="B1" s="22" t="s">
        <v>196</v>
      </c>
      <c r="C1" s="19" t="s">
        <v>197</v>
      </c>
      <c r="D1" s="19" t="s">
        <v>199</v>
      </c>
      <c r="E1" s="2" t="s">
        <v>198</v>
      </c>
    </row>
    <row r="2" spans="3:7" ht="11.25">
      <c r="C2" s="1">
        <v>85</v>
      </c>
      <c r="D2" s="1">
        <v>0.47</v>
      </c>
      <c r="F2" s="7"/>
      <c r="G2" s="7"/>
    </row>
    <row r="3" spans="1:32" ht="12">
      <c r="A3" s="2" t="s">
        <v>158</v>
      </c>
      <c r="B3" s="2" t="s">
        <v>321</v>
      </c>
      <c r="C3" s="9"/>
      <c r="D3" s="8"/>
      <c r="H3" s="1"/>
      <c r="I3" s="1"/>
      <c r="J3" s="1"/>
      <c r="K3" s="1"/>
      <c r="L3" s="1"/>
      <c r="M3" s="1"/>
      <c r="N3" s="1"/>
      <c r="O3" s="1"/>
      <c r="P3" s="1"/>
      <c r="Q3" s="1"/>
      <c r="R3" s="1"/>
      <c r="S3" s="1"/>
      <c r="T3" s="1"/>
      <c r="U3" s="1"/>
      <c r="V3" s="1"/>
      <c r="W3" s="1"/>
      <c r="X3" s="1"/>
      <c r="Y3" s="1"/>
      <c r="Z3" s="1"/>
      <c r="AA3" s="1"/>
      <c r="AB3" s="1"/>
      <c r="AC3" s="1"/>
      <c r="AD3" s="1"/>
      <c r="AE3" s="1"/>
      <c r="AF3" s="1"/>
    </row>
    <row r="4" spans="1:32" ht="12">
      <c r="A4" s="2" t="s">
        <v>159</v>
      </c>
      <c r="B4" s="2"/>
      <c r="C4" s="9"/>
      <c r="D4" s="8"/>
      <c r="H4" s="7"/>
      <c r="I4" s="7"/>
      <c r="J4" s="7"/>
      <c r="K4" s="7"/>
      <c r="L4" s="7"/>
      <c r="M4" s="7"/>
      <c r="N4" s="7"/>
      <c r="O4" s="7"/>
      <c r="P4" s="7"/>
      <c r="Q4" s="7"/>
      <c r="R4" s="7"/>
      <c r="S4" s="7"/>
      <c r="T4" s="7"/>
      <c r="U4" s="7"/>
      <c r="V4" s="7"/>
      <c r="W4" s="7"/>
      <c r="X4" s="7"/>
      <c r="Y4" s="7"/>
      <c r="Z4" s="7"/>
      <c r="AA4" s="7"/>
      <c r="AB4" s="7"/>
      <c r="AC4" s="7"/>
      <c r="AD4" s="7"/>
      <c r="AE4" s="7"/>
      <c r="AF4" s="7"/>
    </row>
    <row r="5" spans="8:32" ht="11.25">
      <c r="H5" s="7"/>
      <c r="I5" s="7"/>
      <c r="J5" s="7"/>
      <c r="K5" s="7"/>
      <c r="L5" s="7"/>
      <c r="M5" s="7"/>
      <c r="N5" s="7"/>
      <c r="O5" s="7"/>
      <c r="P5" s="7"/>
      <c r="Q5" s="7"/>
      <c r="R5" s="7"/>
      <c r="S5" s="7"/>
      <c r="T5" s="7"/>
      <c r="U5" s="7"/>
      <c r="V5" s="7"/>
      <c r="W5" s="7"/>
      <c r="X5" s="7"/>
      <c r="Y5" s="7"/>
      <c r="Z5" s="7"/>
      <c r="AA5" s="7"/>
      <c r="AB5" s="7"/>
      <c r="AC5" s="7"/>
      <c r="AD5" s="7"/>
      <c r="AE5" s="7"/>
      <c r="AF5" s="7"/>
    </row>
    <row r="6" spans="8:32" ht="11.25">
      <c r="H6" s="7"/>
      <c r="I6" s="7" t="s">
        <v>74</v>
      </c>
      <c r="J6" s="7">
        <v>9210</v>
      </c>
      <c r="K6" s="7"/>
      <c r="L6" s="7"/>
      <c r="M6" s="7"/>
      <c r="N6" s="7"/>
      <c r="O6" s="7"/>
      <c r="P6" s="7"/>
      <c r="Q6" s="7"/>
      <c r="R6" s="7"/>
      <c r="S6" s="7"/>
      <c r="T6" s="7"/>
      <c r="U6" s="7"/>
      <c r="V6" s="7"/>
      <c r="W6" s="7"/>
      <c r="X6" s="7"/>
      <c r="Y6" s="7"/>
      <c r="Z6" s="7"/>
      <c r="AA6" s="7"/>
      <c r="AB6" s="7"/>
      <c r="AC6" s="7"/>
      <c r="AD6" s="7"/>
      <c r="AE6" s="7"/>
      <c r="AF6" s="7"/>
    </row>
    <row r="7" spans="2:32" ht="12">
      <c r="B7" s="2" t="s">
        <v>245</v>
      </c>
      <c r="C7" s="1">
        <v>85</v>
      </c>
      <c r="D7" s="1">
        <v>0.48</v>
      </c>
      <c r="H7" s="7"/>
      <c r="I7" s="7"/>
      <c r="J7" s="7"/>
      <c r="K7" s="7"/>
      <c r="L7" s="7"/>
      <c r="M7" s="7"/>
      <c r="N7" s="7"/>
      <c r="O7" s="7"/>
      <c r="P7" s="7"/>
      <c r="Q7" s="7"/>
      <c r="R7" s="7"/>
      <c r="S7" s="7"/>
      <c r="T7" s="7"/>
      <c r="U7" s="7"/>
      <c r="V7" s="7"/>
      <c r="W7" s="7"/>
      <c r="X7" s="7"/>
      <c r="Y7" s="7"/>
      <c r="Z7" s="7"/>
      <c r="AA7" s="7"/>
      <c r="AB7" s="7"/>
      <c r="AC7" s="7"/>
      <c r="AD7" s="7"/>
      <c r="AE7" s="7"/>
      <c r="AF7" s="7"/>
    </row>
    <row r="8" spans="8:32" ht="11.25">
      <c r="H8" s="7"/>
      <c r="I8" s="7" t="s">
        <v>42</v>
      </c>
      <c r="J8" s="7" t="s">
        <v>43</v>
      </c>
      <c r="K8" s="7" t="s">
        <v>44</v>
      </c>
      <c r="L8" s="7" t="s">
        <v>45</v>
      </c>
      <c r="M8" s="7"/>
      <c r="N8" s="7"/>
      <c r="O8" s="7"/>
      <c r="P8" s="7"/>
      <c r="Q8" s="7"/>
      <c r="R8" s="7"/>
      <c r="S8" s="7"/>
      <c r="T8" s="7"/>
      <c r="U8" s="7"/>
      <c r="V8" s="7"/>
      <c r="W8" s="7"/>
      <c r="X8" s="7"/>
      <c r="Y8" s="7"/>
      <c r="Z8" s="7"/>
      <c r="AA8" s="7"/>
      <c r="AB8" s="7"/>
      <c r="AC8" s="7"/>
      <c r="AD8" s="7"/>
      <c r="AE8" s="7"/>
      <c r="AF8" s="7"/>
    </row>
    <row r="9" spans="8:32" ht="12">
      <c r="H9" s="7"/>
      <c r="I9" s="7"/>
      <c r="J9" s="7"/>
      <c r="K9" s="7"/>
      <c r="L9" s="13" t="s">
        <v>203</v>
      </c>
      <c r="M9" s="7"/>
      <c r="N9" s="7"/>
      <c r="O9" s="7"/>
      <c r="P9" s="7"/>
      <c r="Q9" s="7"/>
      <c r="R9" s="7"/>
      <c r="S9" s="7"/>
      <c r="T9" s="7"/>
      <c r="U9" s="7"/>
      <c r="V9" s="7"/>
      <c r="W9" s="7"/>
      <c r="X9" s="7"/>
      <c r="Y9" s="7"/>
      <c r="Z9" s="7"/>
      <c r="AA9" s="7"/>
      <c r="AB9" s="7"/>
      <c r="AC9" s="7"/>
      <c r="AD9" s="7"/>
      <c r="AE9" s="7"/>
      <c r="AF9" s="7"/>
    </row>
    <row r="10" spans="8:32" ht="11.25">
      <c r="H10" s="7"/>
      <c r="I10" s="10">
        <v>37014</v>
      </c>
      <c r="J10" s="7">
        <v>6</v>
      </c>
      <c r="K10" s="7">
        <v>28</v>
      </c>
      <c r="L10" s="7">
        <v>65</v>
      </c>
      <c r="M10" s="7"/>
      <c r="N10" s="7"/>
      <c r="O10" s="7"/>
      <c r="P10" s="7"/>
      <c r="Q10" s="7"/>
      <c r="R10" s="7"/>
      <c r="S10" s="7"/>
      <c r="T10" s="7"/>
      <c r="U10" s="7"/>
      <c r="V10" s="7"/>
      <c r="W10" s="7"/>
      <c r="X10" s="7"/>
      <c r="Y10" s="7"/>
      <c r="Z10" s="7"/>
      <c r="AA10" s="7"/>
      <c r="AB10" s="7"/>
      <c r="AC10" s="7"/>
      <c r="AD10" s="7"/>
      <c r="AE10" s="7"/>
      <c r="AF10" s="7"/>
    </row>
    <row r="11" spans="8:25" ht="11.25">
      <c r="H11" s="6"/>
      <c r="I11" s="6"/>
      <c r="J11" s="6"/>
      <c r="K11" s="6"/>
      <c r="L11" s="6"/>
      <c r="M11" s="6" t="s">
        <v>75</v>
      </c>
      <c r="N11" s="6" t="s">
        <v>76</v>
      </c>
      <c r="O11" s="6" t="s">
        <v>77</v>
      </c>
      <c r="P11" s="6" t="s">
        <v>78</v>
      </c>
      <c r="Q11" s="6" t="s">
        <v>79</v>
      </c>
      <c r="R11" s="6" t="s">
        <v>80</v>
      </c>
      <c r="S11" s="6" t="s">
        <v>81</v>
      </c>
      <c r="T11" s="6" t="s">
        <v>82</v>
      </c>
      <c r="U11" s="6" t="s">
        <v>83</v>
      </c>
      <c r="V11" s="6" t="s">
        <v>84</v>
      </c>
      <c r="W11" s="6" t="s">
        <v>85</v>
      </c>
      <c r="X11" s="6" t="s">
        <v>86</v>
      </c>
      <c r="Y11" s="6"/>
    </row>
    <row r="12" spans="1:23" ht="12">
      <c r="A12" s="2" t="s">
        <v>294</v>
      </c>
      <c r="B12" s="2" t="s">
        <v>248</v>
      </c>
      <c r="C12" s="1">
        <v>86</v>
      </c>
      <c r="D12" s="1">
        <v>0.47</v>
      </c>
      <c r="M12" s="4" t="s">
        <v>240</v>
      </c>
      <c r="W12" s="4" t="s">
        <v>241</v>
      </c>
    </row>
    <row r="13" spans="1:23" ht="12">
      <c r="A13" s="2" t="s">
        <v>160</v>
      </c>
      <c r="D13" s="9"/>
      <c r="H13" s="23" t="s">
        <v>210</v>
      </c>
      <c r="L13" s="3" t="s">
        <v>96</v>
      </c>
      <c r="M13" s="3">
        <v>4.121709500000001</v>
      </c>
      <c r="N13" s="3">
        <v>4.0388135</v>
      </c>
      <c r="O13" s="3">
        <v>5.551710833333334</v>
      </c>
      <c r="P13" s="3">
        <v>4.297020333333333</v>
      </c>
      <c r="Q13" s="3">
        <v>4.418936333333334</v>
      </c>
      <c r="R13" s="3">
        <v>9.901873333333333</v>
      </c>
      <c r="S13" s="3">
        <v>8.923637166666667</v>
      </c>
      <c r="T13" s="3">
        <v>11.601828333333332</v>
      </c>
      <c r="U13" s="3">
        <v>1.1666848333333333</v>
      </c>
      <c r="V13" s="3">
        <v>0</v>
      </c>
      <c r="W13" s="3">
        <f>SUM(M13:V13)</f>
        <v>54.022214166666664</v>
      </c>
    </row>
    <row r="14" spans="1:23" ht="12">
      <c r="A14" s="2" t="s">
        <v>6</v>
      </c>
      <c r="C14" s="9"/>
      <c r="D14" s="9"/>
      <c r="H14" s="23" t="s">
        <v>211</v>
      </c>
      <c r="L14" s="3" t="s">
        <v>88</v>
      </c>
      <c r="M14" s="3">
        <f>M13/$W$13</f>
        <v>0.07629656732106363</v>
      </c>
      <c r="N14" s="3">
        <f aca="true" t="shared" si="0" ref="N14:V14">N13/$W$13</f>
        <v>0.07476208745423969</v>
      </c>
      <c r="O14" s="3">
        <f t="shared" si="0"/>
        <v>0.10276718418474055</v>
      </c>
      <c r="P14" s="3">
        <f t="shared" si="0"/>
        <v>0.07954172926115873</v>
      </c>
      <c r="Q14" s="3">
        <f t="shared" si="0"/>
        <v>0.0817985045873953</v>
      </c>
      <c r="R14" s="3">
        <f t="shared" si="0"/>
        <v>0.18329262297144214</v>
      </c>
      <c r="S14" s="3">
        <f t="shared" si="0"/>
        <v>0.16518458756866025</v>
      </c>
      <c r="T14" s="3">
        <f t="shared" si="0"/>
        <v>0.21476032614175986</v>
      </c>
      <c r="U14" s="3">
        <f t="shared" si="0"/>
        <v>0.021596390509539924</v>
      </c>
      <c r="V14" s="3">
        <f t="shared" si="0"/>
        <v>0</v>
      </c>
      <c r="W14" s="3">
        <f aca="true" t="shared" si="1" ref="W14:W19">SUM(M14:V14)</f>
        <v>1.0000000000000002</v>
      </c>
    </row>
    <row r="15" spans="8:23" ht="12">
      <c r="H15" s="23" t="s">
        <v>212</v>
      </c>
      <c r="L15" s="3" t="s">
        <v>94</v>
      </c>
      <c r="M15" s="3">
        <v>35.818221666666666</v>
      </c>
      <c r="N15" s="3">
        <v>58.0918</v>
      </c>
      <c r="O15" s="3">
        <v>52.803405</v>
      </c>
      <c r="P15" s="3">
        <v>61.10699333333333</v>
      </c>
      <c r="Q15" s="3">
        <v>67.19815333333334</v>
      </c>
      <c r="R15" s="3">
        <v>51.83481666666666</v>
      </c>
      <c r="S15" s="3">
        <v>46.48556666666667</v>
      </c>
      <c r="T15" s="3">
        <v>43.050976666666664</v>
      </c>
      <c r="U15" s="3">
        <v>18.918748333333337</v>
      </c>
      <c r="V15" s="3">
        <v>0</v>
      </c>
      <c r="W15" s="3">
        <f t="shared" si="1"/>
        <v>435.30868166666664</v>
      </c>
    </row>
    <row r="16" spans="1:23" ht="12">
      <c r="A16" s="2"/>
      <c r="H16" s="23" t="s">
        <v>213</v>
      </c>
      <c r="L16" s="3" t="s">
        <v>95</v>
      </c>
      <c r="M16" s="3">
        <v>34.416666666666664</v>
      </c>
      <c r="N16" s="3">
        <v>51.172216666666664</v>
      </c>
      <c r="O16" s="3">
        <v>54.78887833333334</v>
      </c>
      <c r="P16" s="3">
        <v>58</v>
      </c>
      <c r="Q16" s="3">
        <v>58.083333333333336</v>
      </c>
      <c r="R16" s="3">
        <v>42.65555</v>
      </c>
      <c r="S16" s="3">
        <v>43.805566666666664</v>
      </c>
      <c r="T16" s="3">
        <v>41.29166</v>
      </c>
      <c r="U16" s="3">
        <v>18.75</v>
      </c>
      <c r="V16" s="3">
        <v>0</v>
      </c>
      <c r="W16" s="3">
        <f t="shared" si="1"/>
        <v>402.96387166666665</v>
      </c>
    </row>
    <row r="17" spans="1:23" ht="12">
      <c r="A17" s="2" t="s">
        <v>295</v>
      </c>
      <c r="B17" s="2" t="s">
        <v>325</v>
      </c>
      <c r="C17" s="1">
        <v>87</v>
      </c>
      <c r="D17" s="1">
        <v>0.49</v>
      </c>
      <c r="H17" s="23" t="s">
        <v>214</v>
      </c>
      <c r="L17" s="3" t="s">
        <v>89</v>
      </c>
      <c r="M17" s="3">
        <f>3.1415926*0.48*10</f>
        <v>15.07964448</v>
      </c>
      <c r="N17" s="3">
        <f aca="true" t="shared" si="2" ref="N17:S17">3.1415926*0.48*5</f>
        <v>7.53982224</v>
      </c>
      <c r="O17" s="3">
        <f t="shared" si="2"/>
        <v>7.53982224</v>
      </c>
      <c r="P17" s="3">
        <f t="shared" si="2"/>
        <v>7.53982224</v>
      </c>
      <c r="Q17" s="3">
        <f t="shared" si="2"/>
        <v>7.53982224</v>
      </c>
      <c r="R17" s="3">
        <f t="shared" si="2"/>
        <v>7.53982224</v>
      </c>
      <c r="S17" s="3">
        <f t="shared" si="2"/>
        <v>7.53982224</v>
      </c>
      <c r="T17" s="3">
        <f>3.1415926*0.48*10</f>
        <v>15.07964448</v>
      </c>
      <c r="U17" s="3">
        <f>3.1415926*0.48*5</f>
        <v>7.53982224</v>
      </c>
      <c r="W17" s="3">
        <f t="shared" si="1"/>
        <v>82.93804464000002</v>
      </c>
    </row>
    <row r="18" spans="1:23" ht="12">
      <c r="A18" s="2" t="s">
        <v>161</v>
      </c>
      <c r="D18" s="9"/>
      <c r="H18" s="23" t="s">
        <v>215</v>
      </c>
      <c r="L18" s="3" t="s">
        <v>90</v>
      </c>
      <c r="M18" s="3">
        <f aca="true" t="shared" si="3" ref="M18:W18">M17/$W$17</f>
        <v>0.1818181818181818</v>
      </c>
      <c r="N18" s="3">
        <f t="shared" si="3"/>
        <v>0.0909090909090909</v>
      </c>
      <c r="O18" s="3">
        <f t="shared" si="3"/>
        <v>0.0909090909090909</v>
      </c>
      <c r="P18" s="3">
        <f t="shared" si="3"/>
        <v>0.0909090909090909</v>
      </c>
      <c r="Q18" s="3">
        <f t="shared" si="3"/>
        <v>0.0909090909090909</v>
      </c>
      <c r="R18" s="3">
        <f t="shared" si="3"/>
        <v>0.0909090909090909</v>
      </c>
      <c r="S18" s="3">
        <f t="shared" si="3"/>
        <v>0.0909090909090909</v>
      </c>
      <c r="T18" s="3">
        <f t="shared" si="3"/>
        <v>0.1818181818181818</v>
      </c>
      <c r="U18" s="3">
        <f t="shared" si="3"/>
        <v>0.0909090909090909</v>
      </c>
      <c r="V18" s="3">
        <f t="shared" si="3"/>
        <v>0</v>
      </c>
      <c r="W18" s="3">
        <f t="shared" si="3"/>
        <v>1</v>
      </c>
    </row>
    <row r="19" spans="1:23" ht="12">
      <c r="A19" s="2" t="s">
        <v>7</v>
      </c>
      <c r="D19" s="9"/>
      <c r="H19" s="23" t="s">
        <v>216</v>
      </c>
      <c r="L19" s="3" t="s">
        <v>91</v>
      </c>
      <c r="M19" s="3">
        <v>0</v>
      </c>
      <c r="N19" s="3">
        <v>0</v>
      </c>
      <c r="O19" s="3">
        <v>0</v>
      </c>
      <c r="P19" s="3">
        <v>0</v>
      </c>
      <c r="Q19" s="3">
        <v>0</v>
      </c>
      <c r="R19" s="3">
        <v>0</v>
      </c>
      <c r="S19" s="3">
        <v>0</v>
      </c>
      <c r="T19" s="3">
        <v>0</v>
      </c>
      <c r="U19" s="3">
        <v>0</v>
      </c>
      <c r="V19" s="3">
        <v>0</v>
      </c>
      <c r="W19" s="3">
        <f t="shared" si="1"/>
        <v>0</v>
      </c>
    </row>
    <row r="20" spans="8:23" ht="12">
      <c r="H20" s="23" t="s">
        <v>217</v>
      </c>
      <c r="L20" s="3" t="s">
        <v>92</v>
      </c>
      <c r="M20" s="3">
        <v>0</v>
      </c>
      <c r="N20" s="3">
        <v>0</v>
      </c>
      <c r="O20" s="3">
        <v>0</v>
      </c>
      <c r="P20" s="3">
        <v>0</v>
      </c>
      <c r="Q20" s="3">
        <v>0</v>
      </c>
      <c r="R20" s="3">
        <v>0</v>
      </c>
      <c r="S20" s="3">
        <v>0</v>
      </c>
      <c r="T20" s="3">
        <v>0</v>
      </c>
      <c r="U20" s="3">
        <v>0</v>
      </c>
      <c r="V20" s="3">
        <v>0</v>
      </c>
      <c r="W20" s="3">
        <v>0</v>
      </c>
    </row>
    <row r="21" spans="8:23" ht="12">
      <c r="H21" s="23" t="s">
        <v>218</v>
      </c>
      <c r="L21" s="3" t="s">
        <v>93</v>
      </c>
      <c r="M21" s="3">
        <f>M13+M17+M19</f>
        <v>19.20135398</v>
      </c>
      <c r="N21" s="3">
        <f aca="true" t="shared" si="4" ref="N21:W21">N13+N17+N19</f>
        <v>11.57863574</v>
      </c>
      <c r="O21" s="3">
        <f t="shared" si="4"/>
        <v>13.091533073333334</v>
      </c>
      <c r="P21" s="3">
        <f t="shared" si="4"/>
        <v>11.836842573333334</v>
      </c>
      <c r="Q21" s="3">
        <f t="shared" si="4"/>
        <v>11.958758573333334</v>
      </c>
      <c r="R21" s="3">
        <f>R13+R17+R19</f>
        <v>17.441695573333334</v>
      </c>
      <c r="S21" s="3">
        <f t="shared" si="4"/>
        <v>16.46345940666667</v>
      </c>
      <c r="T21" s="3">
        <f t="shared" si="4"/>
        <v>26.681472813333333</v>
      </c>
      <c r="U21" s="3">
        <f t="shared" si="4"/>
        <v>8.706507073333334</v>
      </c>
      <c r="V21" s="3">
        <f t="shared" si="4"/>
        <v>0</v>
      </c>
      <c r="W21" s="3">
        <f t="shared" si="4"/>
        <v>136.96025880666667</v>
      </c>
    </row>
    <row r="22" spans="1:23" ht="12">
      <c r="A22" s="2" t="s">
        <v>294</v>
      </c>
      <c r="B22" s="2" t="s">
        <v>238</v>
      </c>
      <c r="C22" s="1">
        <v>86</v>
      </c>
      <c r="D22" s="1">
        <v>0.48</v>
      </c>
      <c r="H22" s="23" t="s">
        <v>219</v>
      </c>
      <c r="L22" s="4" t="s">
        <v>191</v>
      </c>
      <c r="M22" s="3">
        <f>M21/$W$21</f>
        <v>0.14019653691735984</v>
      </c>
      <c r="N22" s="3">
        <f aca="true" t="shared" si="5" ref="N22:W22">N21/$W$21</f>
        <v>0.08454011288299637</v>
      </c>
      <c r="O22" s="3">
        <f t="shared" si="5"/>
        <v>0.09558636342687818</v>
      </c>
      <c r="P22" s="3">
        <f t="shared" si="5"/>
        <v>0.08642538117602595</v>
      </c>
      <c r="Q22" s="3">
        <f t="shared" si="5"/>
        <v>0.08731553720422168</v>
      </c>
      <c r="R22" s="3">
        <f t="shared" si="5"/>
        <v>0.12734858801598833</v>
      </c>
      <c r="S22" s="3">
        <f t="shared" si="5"/>
        <v>0.12020610613701099</v>
      </c>
      <c r="T22" s="3">
        <f t="shared" si="5"/>
        <v>0.19481178734480156</v>
      </c>
      <c r="U22" s="3">
        <f t="shared" si="5"/>
        <v>0.06356958689471706</v>
      </c>
      <c r="V22" s="3">
        <f t="shared" si="5"/>
        <v>0</v>
      </c>
      <c r="W22" s="3">
        <f t="shared" si="5"/>
        <v>1</v>
      </c>
    </row>
    <row r="23" spans="1:32" ht="12">
      <c r="A23" s="2" t="s">
        <v>2</v>
      </c>
      <c r="D23" s="9"/>
      <c r="H23" s="7"/>
      <c r="I23" s="7"/>
      <c r="J23" s="7"/>
      <c r="K23" s="7"/>
      <c r="L23" s="7" t="s">
        <v>46</v>
      </c>
      <c r="M23" s="7" t="s">
        <v>47</v>
      </c>
      <c r="N23" s="11">
        <v>37021</v>
      </c>
      <c r="O23" s="11">
        <v>37179</v>
      </c>
      <c r="P23" s="7" t="s">
        <v>48</v>
      </c>
      <c r="Q23" s="7" t="s">
        <v>49</v>
      </c>
      <c r="R23" s="7" t="s">
        <v>50</v>
      </c>
      <c r="S23" s="7" t="s">
        <v>51</v>
      </c>
      <c r="T23" s="7" t="s">
        <v>52</v>
      </c>
      <c r="U23" s="7" t="s">
        <v>53</v>
      </c>
      <c r="V23" s="7" t="s">
        <v>54</v>
      </c>
      <c r="W23" s="7" t="s">
        <v>55</v>
      </c>
      <c r="X23" s="7" t="s">
        <v>56</v>
      </c>
      <c r="Y23" s="7" t="s">
        <v>57</v>
      </c>
      <c r="Z23" s="7" t="s">
        <v>58</v>
      </c>
      <c r="AA23" s="7" t="s">
        <v>59</v>
      </c>
      <c r="AB23" s="7" t="s">
        <v>60</v>
      </c>
      <c r="AC23" s="7" t="s">
        <v>61</v>
      </c>
      <c r="AD23" s="7" t="s">
        <v>62</v>
      </c>
      <c r="AE23" s="7" t="s">
        <v>63</v>
      </c>
      <c r="AF23" s="7"/>
    </row>
    <row r="24" spans="1:32" ht="12">
      <c r="A24" s="2" t="s">
        <v>3</v>
      </c>
      <c r="D24" s="9"/>
      <c r="H24" s="7"/>
      <c r="I24" s="7"/>
      <c r="J24" s="7"/>
      <c r="K24" s="7"/>
      <c r="L24" s="13" t="s">
        <v>234</v>
      </c>
      <c r="M24" s="7"/>
      <c r="N24" s="12"/>
      <c r="O24" s="12"/>
      <c r="P24" s="7"/>
      <c r="Q24" s="7"/>
      <c r="R24" s="7"/>
      <c r="S24" s="7"/>
      <c r="T24" s="7"/>
      <c r="U24" s="7"/>
      <c r="V24" s="7"/>
      <c r="W24" s="7"/>
      <c r="X24" s="7"/>
      <c r="Y24" s="7"/>
      <c r="Z24" s="7"/>
      <c r="AA24" s="7"/>
      <c r="AB24" s="7"/>
      <c r="AC24" s="7"/>
      <c r="AD24" s="7"/>
      <c r="AE24" s="13" t="s">
        <v>242</v>
      </c>
      <c r="AF24" s="7"/>
    </row>
    <row r="25" spans="7:32" ht="12">
      <c r="G25" s="5"/>
      <c r="H25" s="13" t="s">
        <v>220</v>
      </c>
      <c r="I25" s="7"/>
      <c r="J25" s="7"/>
      <c r="K25" s="7"/>
      <c r="L25" s="7" t="s">
        <v>97</v>
      </c>
      <c r="M25" s="7">
        <v>2.3964166666666666</v>
      </c>
      <c r="N25" s="7">
        <v>1.0634666666666668</v>
      </c>
      <c r="O25" s="7">
        <v>1.590539</v>
      </c>
      <c r="P25" s="7">
        <v>0.26418335</v>
      </c>
      <c r="Q25" s="7">
        <v>0.43395</v>
      </c>
      <c r="R25" s="7">
        <v>1.954633333333333</v>
      </c>
      <c r="S25" s="7">
        <v>2.037316666666667</v>
      </c>
      <c r="T25" s="7">
        <v>4.6017</v>
      </c>
      <c r="U25" s="7">
        <v>3.6443583333333334</v>
      </c>
      <c r="V25" s="7">
        <v>4.0150611666666665</v>
      </c>
      <c r="W25" s="7">
        <v>0.30833333333333335</v>
      </c>
      <c r="X25" s="7">
        <v>4.645983333333333</v>
      </c>
      <c r="Y25" s="7">
        <v>3.4942776666666666</v>
      </c>
      <c r="Z25" s="7">
        <v>9.06507</v>
      </c>
      <c r="AA25" s="7">
        <v>6.924541666666667</v>
      </c>
      <c r="AB25" s="7">
        <v>5.6569666666666665</v>
      </c>
      <c r="AC25" s="7">
        <v>1.6242666666666665</v>
      </c>
      <c r="AD25" s="7">
        <v>0</v>
      </c>
      <c r="AE25" s="7">
        <f>SUM(M25:AD25)</f>
        <v>53.721064516666665</v>
      </c>
      <c r="AF25" s="7"/>
    </row>
    <row r="26" spans="8:32" ht="12">
      <c r="H26" s="13" t="s">
        <v>221</v>
      </c>
      <c r="I26" s="7"/>
      <c r="J26" s="7"/>
      <c r="K26" s="7"/>
      <c r="L26" s="7" t="s">
        <v>64</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f>3.1415*0.48*49</f>
        <v>73.88808</v>
      </c>
      <c r="AE26" s="7">
        <f>SUM(M14:AD14)</f>
        <v>2.0000000000000004</v>
      </c>
      <c r="AF26" s="7"/>
    </row>
    <row r="27" spans="2:32" ht="12">
      <c r="B27" s="2" t="s">
        <v>239</v>
      </c>
      <c r="C27" s="1">
        <v>87</v>
      </c>
      <c r="D27" s="1">
        <v>0.49</v>
      </c>
      <c r="H27" s="13" t="s">
        <v>222</v>
      </c>
      <c r="I27" s="7"/>
      <c r="J27" s="7"/>
      <c r="K27" s="7"/>
      <c r="L27" s="7" t="s">
        <v>65</v>
      </c>
      <c r="M27" s="7">
        <f>M25+M26</f>
        <v>2.3964166666666666</v>
      </c>
      <c r="N27" s="7">
        <v>15.7776</v>
      </c>
      <c r="O27" s="7">
        <v>15.9637</v>
      </c>
      <c r="P27" s="7">
        <v>9.7297</v>
      </c>
      <c r="Q27" s="7">
        <v>13.0172</v>
      </c>
      <c r="R27" s="7">
        <v>15.175</v>
      </c>
      <c r="S27" s="7">
        <v>9.0759</v>
      </c>
      <c r="T27" s="7">
        <v>11.6235</v>
      </c>
      <c r="U27" s="7">
        <v>7.523</v>
      </c>
      <c r="V27" s="7">
        <v>14.344</v>
      </c>
      <c r="W27" s="7">
        <v>9.358</v>
      </c>
      <c r="X27" s="7">
        <v>15.0713</v>
      </c>
      <c r="Y27" s="7">
        <v>8.5356</v>
      </c>
      <c r="Z27" s="7">
        <v>9.2383</v>
      </c>
      <c r="AA27" s="7">
        <v>10.0258</v>
      </c>
      <c r="AB27" s="7">
        <v>5.6752</v>
      </c>
      <c r="AC27" s="7">
        <f>AC25+AC26</f>
        <v>1.6242666666666665</v>
      </c>
      <c r="AD27" s="7">
        <f>AD26+AD25</f>
        <v>73.88808</v>
      </c>
      <c r="AE27" s="7">
        <f>AE25+AE26</f>
        <v>55.721064516666665</v>
      </c>
      <c r="AF27" s="7"/>
    </row>
    <row r="28" spans="1:32" ht="12">
      <c r="A28" s="2" t="s">
        <v>4</v>
      </c>
      <c r="C28" s="9"/>
      <c r="D28" s="9"/>
      <c r="H28" s="13" t="s">
        <v>223</v>
      </c>
      <c r="I28" s="7"/>
      <c r="J28" s="7"/>
      <c r="K28" s="7"/>
      <c r="L28" s="7" t="s">
        <v>66</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row>
    <row r="29" spans="1:32" ht="12">
      <c r="A29" s="2" t="s">
        <v>5</v>
      </c>
      <c r="C29" s="9"/>
      <c r="D29" s="9"/>
      <c r="H29" s="13" t="s">
        <v>224</v>
      </c>
      <c r="I29" s="7"/>
      <c r="J29" s="7"/>
      <c r="K29" s="7"/>
      <c r="L29" s="7" t="s">
        <v>67</v>
      </c>
      <c r="M29" s="7">
        <f aca="true" t="shared" si="6" ref="M29:AE29">M27+M28</f>
        <v>2.3964166666666666</v>
      </c>
      <c r="N29" s="7">
        <f t="shared" si="6"/>
        <v>15.7776</v>
      </c>
      <c r="O29" s="7">
        <f t="shared" si="6"/>
        <v>15.9637</v>
      </c>
      <c r="P29" s="7">
        <f t="shared" si="6"/>
        <v>9.7297</v>
      </c>
      <c r="Q29" s="7">
        <f t="shared" si="6"/>
        <v>13.0172</v>
      </c>
      <c r="R29" s="7">
        <f t="shared" si="6"/>
        <v>15.175</v>
      </c>
      <c r="S29" s="7">
        <f t="shared" si="6"/>
        <v>9.0759</v>
      </c>
      <c r="T29" s="7">
        <f t="shared" si="6"/>
        <v>11.6235</v>
      </c>
      <c r="U29" s="7">
        <f t="shared" si="6"/>
        <v>7.523</v>
      </c>
      <c r="V29" s="7">
        <f t="shared" si="6"/>
        <v>14.344</v>
      </c>
      <c r="W29" s="7">
        <f t="shared" si="6"/>
        <v>9.358</v>
      </c>
      <c r="X29" s="7">
        <f t="shared" si="6"/>
        <v>15.0713</v>
      </c>
      <c r="Y29" s="7">
        <f t="shared" si="6"/>
        <v>8.5356</v>
      </c>
      <c r="Z29" s="7">
        <f t="shared" si="6"/>
        <v>9.2383</v>
      </c>
      <c r="AA29" s="7">
        <f t="shared" si="6"/>
        <v>10.0258</v>
      </c>
      <c r="AB29" s="7">
        <f t="shared" si="6"/>
        <v>5.6752</v>
      </c>
      <c r="AC29" s="7">
        <f t="shared" si="6"/>
        <v>1.6242666666666665</v>
      </c>
      <c r="AD29" s="7">
        <f t="shared" si="6"/>
        <v>73.88808</v>
      </c>
      <c r="AE29" s="7">
        <f t="shared" si="6"/>
        <v>55.721064516666665</v>
      </c>
      <c r="AF29" s="7"/>
    </row>
    <row r="30" spans="8:32" ht="12">
      <c r="H30" s="13" t="s">
        <v>225</v>
      </c>
      <c r="I30" s="7"/>
      <c r="J30" s="7"/>
      <c r="K30" s="7"/>
      <c r="L30" s="7" t="s">
        <v>68</v>
      </c>
      <c r="M30" s="7">
        <f>M25/AE25</f>
        <v>0.04460851042747285</v>
      </c>
      <c r="N30" s="7">
        <f>N25/AE25</f>
        <v>0.019796083272637533</v>
      </c>
      <c r="O30" s="7">
        <f>O25/AE25</f>
        <v>0.02960736192237114</v>
      </c>
      <c r="P30" s="7">
        <f>P25/AE25</f>
        <v>0.00491768643039526</v>
      </c>
      <c r="Q30" s="7">
        <f>Q25/AE25</f>
        <v>0.008077836951004003</v>
      </c>
      <c r="R30" s="7">
        <f>R25/AE25</f>
        <v>0.036384858545141424</v>
      </c>
      <c r="S30" s="7">
        <f>S25/AE25</f>
        <v>0.0379239816819825</v>
      </c>
      <c r="T30" s="7">
        <f>T25/AE25</f>
        <v>0.0856591365305568</v>
      </c>
      <c r="U30" s="7">
        <f>U25/AE25</f>
        <v>0.06783853533287099</v>
      </c>
      <c r="V30" s="7">
        <f>V25/AE25</f>
        <v>0.07473904701611071</v>
      </c>
      <c r="W30" s="7">
        <f>W25/AE25</f>
        <v>0.0057395238926748115</v>
      </c>
      <c r="X30" s="7">
        <f>X25/AE25</f>
        <v>0.08648345625935878</v>
      </c>
      <c r="Y30" s="7">
        <f>Y25/AE25</f>
        <v>0.06504483293667024</v>
      </c>
      <c r="Z30" s="7">
        <f>Z25/AE25</f>
        <v>0.16874330547168537</v>
      </c>
      <c r="AA30" s="7">
        <f>AA25/AE25</f>
        <v>0.12889807245942356</v>
      </c>
      <c r="AB30" s="7">
        <f>AB25/AE25</f>
        <v>0.10530257949210264</v>
      </c>
      <c r="AC30" s="7">
        <f>AC25/AE25</f>
        <v>0.030235191377541423</v>
      </c>
      <c r="AD30" s="7">
        <f>AD25/AE25</f>
        <v>0</v>
      </c>
      <c r="AE30" s="7">
        <f>AE25/AE25</f>
        <v>1</v>
      </c>
      <c r="AF30" s="7"/>
    </row>
    <row r="31" spans="8:32" ht="12">
      <c r="H31" s="13" t="s">
        <v>226</v>
      </c>
      <c r="I31" s="7"/>
      <c r="J31" s="7"/>
      <c r="K31" s="7"/>
      <c r="L31" s="7" t="s">
        <v>69</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c r="AF31" s="7"/>
    </row>
    <row r="32" spans="8:32" ht="12">
      <c r="H32" s="13" t="s">
        <v>227</v>
      </c>
      <c r="I32" s="7"/>
      <c r="J32" s="7"/>
      <c r="K32" s="7"/>
      <c r="L32" s="7" t="s">
        <v>70</v>
      </c>
      <c r="M32" s="3">
        <f aca="true" t="shared" si="7" ref="M32:AE32">M27/$AE$27</f>
        <v>0.043007374095480125</v>
      </c>
      <c r="N32" s="3">
        <f t="shared" si="7"/>
        <v>0.2831532408229706</v>
      </c>
      <c r="O32" s="3">
        <f t="shared" si="7"/>
        <v>0.28649309087095987</v>
      </c>
      <c r="P32" s="3">
        <f t="shared" si="7"/>
        <v>0.1746143955503535</v>
      </c>
      <c r="Q32" s="3">
        <f t="shared" si="7"/>
        <v>0.2336136273223287</v>
      </c>
      <c r="R32" s="3">
        <f t="shared" si="7"/>
        <v>0.27233865920599964</v>
      </c>
      <c r="S32" s="3">
        <f t="shared" si="7"/>
        <v>0.16288095137316191</v>
      </c>
      <c r="T32" s="3">
        <f t="shared" si="7"/>
        <v>0.20860154235788708</v>
      </c>
      <c r="U32" s="3">
        <f t="shared" si="7"/>
        <v>0.13501177813553442</v>
      </c>
      <c r="V32" s="3">
        <f t="shared" si="7"/>
        <v>0.2574250891367946</v>
      </c>
      <c r="W32" s="3">
        <f t="shared" si="7"/>
        <v>0.16794366872156472</v>
      </c>
      <c r="X32" s="3">
        <f t="shared" si="7"/>
        <v>0.27047760359086537</v>
      </c>
      <c r="Y32" s="3">
        <f t="shared" si="7"/>
        <v>0.15318443884802177</v>
      </c>
      <c r="Z32" s="3">
        <f t="shared" si="7"/>
        <v>0.16579546855636154</v>
      </c>
      <c r="AA32" s="3">
        <f t="shared" si="7"/>
        <v>0.17992836438006662</v>
      </c>
      <c r="AB32" s="3">
        <f t="shared" si="7"/>
        <v>0.10185017190944903</v>
      </c>
      <c r="AC32" s="3">
        <f t="shared" si="7"/>
        <v>0.029149957574497412</v>
      </c>
      <c r="AD32" s="3">
        <f t="shared" si="7"/>
        <v>1.3260349679410632</v>
      </c>
      <c r="AE32" s="3">
        <f t="shared" si="7"/>
        <v>1</v>
      </c>
      <c r="AF32" s="7"/>
    </row>
    <row r="33" spans="8:32" ht="12">
      <c r="H33" s="13" t="s">
        <v>228</v>
      </c>
      <c r="I33" s="7"/>
      <c r="J33" s="7"/>
      <c r="K33" s="7"/>
      <c r="L33" s="7" t="s">
        <v>71</v>
      </c>
      <c r="M33" s="7">
        <f>M30</f>
        <v>0.04460851042747285</v>
      </c>
      <c r="N33" s="7">
        <f>M30+N30</f>
        <v>0.06440459370011038</v>
      </c>
      <c r="O33" s="7">
        <f aca="true" t="shared" si="8" ref="O33:AD33">N33+O30</f>
        <v>0.09401195562248152</v>
      </c>
      <c r="P33" s="7">
        <f t="shared" si="8"/>
        <v>0.09892964205287678</v>
      </c>
      <c r="Q33" s="7">
        <f t="shared" si="8"/>
        <v>0.10700747900388079</v>
      </c>
      <c r="R33" s="7">
        <f t="shared" si="8"/>
        <v>0.1433923375490222</v>
      </c>
      <c r="S33" s="7">
        <f t="shared" si="8"/>
        <v>0.1813163192310047</v>
      </c>
      <c r="T33" s="7">
        <f t="shared" si="8"/>
        <v>0.2669754557615615</v>
      </c>
      <c r="U33" s="7">
        <f t="shared" si="8"/>
        <v>0.3348139910944325</v>
      </c>
      <c r="V33" s="7">
        <f t="shared" si="8"/>
        <v>0.4095530381105432</v>
      </c>
      <c r="W33" s="7">
        <f t="shared" si="8"/>
        <v>0.415292562003218</v>
      </c>
      <c r="X33" s="7">
        <f t="shared" si="8"/>
        <v>0.5017760182625768</v>
      </c>
      <c r="Y33" s="7">
        <f t="shared" si="8"/>
        <v>0.566820851199247</v>
      </c>
      <c r="Z33" s="7">
        <f t="shared" si="8"/>
        <v>0.7355641566709323</v>
      </c>
      <c r="AA33" s="7">
        <f t="shared" si="8"/>
        <v>0.8644622291303559</v>
      </c>
      <c r="AB33" s="7">
        <f t="shared" si="8"/>
        <v>0.9697648086224585</v>
      </c>
      <c r="AC33" s="7">
        <f t="shared" si="8"/>
        <v>0.9999999999999999</v>
      </c>
      <c r="AD33" s="7">
        <f t="shared" si="8"/>
        <v>0.9999999999999999</v>
      </c>
      <c r="AE33" s="7"/>
      <c r="AF33" s="7"/>
    </row>
    <row r="34" spans="8:32" ht="12">
      <c r="H34" s="13" t="s">
        <v>230</v>
      </c>
      <c r="I34" s="7"/>
      <c r="J34" s="7"/>
      <c r="K34" s="7"/>
      <c r="L34" s="7" t="s">
        <v>72</v>
      </c>
      <c r="M34" s="7">
        <f aca="true" t="shared" si="9" ref="M34:AC34">M33+M31</f>
        <v>0.04460851042747285</v>
      </c>
      <c r="N34" s="13">
        <f t="shared" si="9"/>
        <v>0.06440459370011038</v>
      </c>
      <c r="O34" s="13">
        <f t="shared" si="9"/>
        <v>0.09401195562248152</v>
      </c>
      <c r="P34" s="13">
        <f t="shared" si="9"/>
        <v>0.09892964205287678</v>
      </c>
      <c r="Q34" s="13">
        <f t="shared" si="9"/>
        <v>0.10700747900388079</v>
      </c>
      <c r="R34" s="13">
        <f t="shared" si="9"/>
        <v>0.1433923375490222</v>
      </c>
      <c r="S34" s="13">
        <f t="shared" si="9"/>
        <v>0.1813163192310047</v>
      </c>
      <c r="T34" s="13">
        <f t="shared" si="9"/>
        <v>0.2669754557615615</v>
      </c>
      <c r="U34" s="13">
        <f t="shared" si="9"/>
        <v>0.3348139910944325</v>
      </c>
      <c r="V34" s="13">
        <f t="shared" si="9"/>
        <v>0.4095530381105432</v>
      </c>
      <c r="W34" s="13">
        <f t="shared" si="9"/>
        <v>0.415292562003218</v>
      </c>
      <c r="X34" s="13">
        <f t="shared" si="9"/>
        <v>0.5017760182625768</v>
      </c>
      <c r="Y34" s="13">
        <f t="shared" si="9"/>
        <v>0.566820851199247</v>
      </c>
      <c r="Z34" s="13">
        <f t="shared" si="9"/>
        <v>0.7355641566709323</v>
      </c>
      <c r="AA34" s="13">
        <f t="shared" si="9"/>
        <v>0.8644622291303559</v>
      </c>
      <c r="AB34" s="13">
        <f t="shared" si="9"/>
        <v>0.9697648086224585</v>
      </c>
      <c r="AC34" s="13">
        <f t="shared" si="9"/>
        <v>0.9999999999999999</v>
      </c>
      <c r="AD34" s="13"/>
      <c r="AE34" s="13"/>
      <c r="AF34" s="13"/>
    </row>
    <row r="35" spans="8:32" ht="11.25">
      <c r="H35" s="7" t="s">
        <v>229</v>
      </c>
      <c r="I35" s="7"/>
      <c r="J35" s="7"/>
      <c r="K35" s="7"/>
      <c r="L35" s="7" t="s">
        <v>73</v>
      </c>
      <c r="M35" s="7">
        <f>M32</f>
        <v>0.043007374095480125</v>
      </c>
      <c r="N35" s="7">
        <f aca="true" t="shared" si="10" ref="N35:AE35">M35+N32</f>
        <v>0.3261606149184507</v>
      </c>
      <c r="O35" s="7">
        <f t="shared" si="10"/>
        <v>0.6126537057894106</v>
      </c>
      <c r="P35" s="7">
        <f t="shared" si="10"/>
        <v>0.7872681013397641</v>
      </c>
      <c r="Q35" s="7">
        <f t="shared" si="10"/>
        <v>1.0208817286620928</v>
      </c>
      <c r="R35" s="7">
        <f t="shared" si="10"/>
        <v>1.2932203878680926</v>
      </c>
      <c r="S35" s="7">
        <f t="shared" si="10"/>
        <v>1.4561013392412545</v>
      </c>
      <c r="T35" s="7">
        <f t="shared" si="10"/>
        <v>1.6647028815991416</v>
      </c>
      <c r="U35" s="7">
        <f t="shared" si="10"/>
        <v>1.799714659734676</v>
      </c>
      <c r="V35" s="7">
        <f t="shared" si="10"/>
        <v>2.057139748871471</v>
      </c>
      <c r="W35" s="7">
        <f t="shared" si="10"/>
        <v>2.2250834175930354</v>
      </c>
      <c r="X35" s="7">
        <f t="shared" si="10"/>
        <v>2.4955610211839008</v>
      </c>
      <c r="Y35" s="7">
        <f t="shared" si="10"/>
        <v>2.6487454600319227</v>
      </c>
      <c r="Z35" s="7">
        <f t="shared" si="10"/>
        <v>2.814540928588284</v>
      </c>
      <c r="AA35" s="7">
        <f t="shared" si="10"/>
        <v>2.9944692929683505</v>
      </c>
      <c r="AB35" s="7">
        <f t="shared" si="10"/>
        <v>3.0963194648777996</v>
      </c>
      <c r="AC35" s="7">
        <f t="shared" si="10"/>
        <v>3.125469422452297</v>
      </c>
      <c r="AD35" s="7">
        <f t="shared" si="10"/>
        <v>4.45150439039336</v>
      </c>
      <c r="AE35" s="7">
        <f t="shared" si="10"/>
        <v>5.45150439039336</v>
      </c>
      <c r="AF35" s="7"/>
    </row>
    <row r="36" spans="8:25" ht="11.25">
      <c r="H36" s="7"/>
      <c r="I36" s="7"/>
      <c r="J36" s="7"/>
      <c r="K36" s="7"/>
      <c r="L36" s="7"/>
      <c r="M36" s="7"/>
      <c r="N36" s="7"/>
      <c r="O36" s="7"/>
      <c r="P36" s="7"/>
      <c r="Q36" s="7"/>
      <c r="R36" s="7"/>
      <c r="S36" s="7"/>
      <c r="T36" s="7"/>
      <c r="U36" s="7"/>
      <c r="V36" s="7"/>
      <c r="W36" s="7"/>
      <c r="X36" s="7"/>
      <c r="Y36" s="7"/>
    </row>
    <row r="37" ht="12">
      <c r="H37" s="4" t="s">
        <v>231</v>
      </c>
    </row>
    <row r="38" ht="11.25">
      <c r="C38" s="9"/>
    </row>
    <row r="39" ht="11.25">
      <c r="C39" s="9"/>
    </row>
    <row r="48" ht="11.25">
      <c r="C48" s="9"/>
    </row>
    <row r="49" ht="11.25">
      <c r="C49" s="9"/>
    </row>
    <row r="53" ht="12">
      <c r="A53" s="2"/>
    </row>
    <row r="95" ht="12">
      <c r="A95" s="2"/>
    </row>
    <row r="137" ht="12">
      <c r="A137" s="2"/>
    </row>
    <row r="147" ht="12">
      <c r="A147" s="2"/>
    </row>
    <row r="188" ht="12">
      <c r="A188" s="2"/>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H189"/>
  <sheetViews>
    <sheetView workbookViewId="0" topLeftCell="A1">
      <pane xSplit="5" ySplit="1" topLeftCell="F31" activePane="bottomRight" state="frozen"/>
      <selection pane="topLeft" activeCell="A1" sqref="A1"/>
      <selection pane="topRight" activeCell="D1" sqref="D1"/>
      <selection pane="bottomLeft" activeCell="A2" sqref="A2"/>
      <selection pane="bottomRight" activeCell="B8" sqref="B8"/>
    </sheetView>
  </sheetViews>
  <sheetFormatPr defaultColWidth="9.00390625" defaultRowHeight="14.25"/>
  <cols>
    <col min="1" max="2" width="5.75390625" style="1" customWidth="1"/>
    <col min="3" max="3" width="3.875" style="1" customWidth="1"/>
    <col min="4" max="4" width="4.125" style="1" customWidth="1"/>
    <col min="5" max="5" width="8.875" style="3" customWidth="1"/>
    <col min="6" max="6" width="5.125" style="0" customWidth="1"/>
    <col min="7" max="7" width="4.125" style="3" customWidth="1"/>
    <col min="8" max="8" width="4.875" style="3" customWidth="1"/>
    <col min="9" max="9" width="7.75390625" style="3" customWidth="1"/>
    <col min="10" max="10" width="4.875" style="3" customWidth="1"/>
    <col min="11" max="11" width="19.00390625" style="15" customWidth="1"/>
    <col min="12" max="12" width="4.875" style="3" customWidth="1"/>
    <col min="13" max="13" width="6.375" style="3" customWidth="1"/>
    <col min="14" max="30" width="4.875" style="3" customWidth="1"/>
    <col min="31" max="31" width="7.75390625" style="3" customWidth="1"/>
    <col min="32" max="33" width="4.875" style="3" customWidth="1"/>
    <col min="34" max="16384" width="4.125" style="3" customWidth="1"/>
  </cols>
  <sheetData>
    <row r="1" spans="1:11" ht="24">
      <c r="A1" s="18" t="s">
        <v>195</v>
      </c>
      <c r="B1" s="22" t="s">
        <v>196</v>
      </c>
      <c r="C1" s="19" t="s">
        <v>197</v>
      </c>
      <c r="D1" s="19" t="s">
        <v>199</v>
      </c>
      <c r="E1" s="2" t="s">
        <v>198</v>
      </c>
      <c r="F1" s="3"/>
      <c r="K1" s="3"/>
    </row>
    <row r="3" spans="1:32" ht="15">
      <c r="A3" s="2" t="s">
        <v>277</v>
      </c>
      <c r="B3" s="2" t="s">
        <v>245</v>
      </c>
      <c r="C3" s="1">
        <v>83</v>
      </c>
      <c r="D3" s="1">
        <v>0.48</v>
      </c>
      <c r="E3" s="3">
        <v>4.6</v>
      </c>
      <c r="H3" s="1"/>
      <c r="I3" s="1"/>
      <c r="J3" s="1"/>
      <c r="L3" s="1"/>
      <c r="M3" s="1"/>
      <c r="N3" s="1"/>
      <c r="O3" s="1"/>
      <c r="P3" s="1"/>
      <c r="Q3" s="1"/>
      <c r="R3" s="1"/>
      <c r="S3" s="1"/>
      <c r="T3" s="1"/>
      <c r="U3" s="1"/>
      <c r="V3" s="1"/>
      <c r="W3" s="1"/>
      <c r="X3" s="1"/>
      <c r="Y3" s="1"/>
      <c r="Z3" s="1"/>
      <c r="AA3" s="1"/>
      <c r="AB3" s="1"/>
      <c r="AC3" s="1"/>
      <c r="AD3" s="1"/>
      <c r="AE3" s="1"/>
      <c r="AF3" s="1"/>
    </row>
    <row r="4" spans="1:32" ht="15">
      <c r="A4" s="1" t="s">
        <v>293</v>
      </c>
      <c r="C4" s="9"/>
      <c r="E4" s="3">
        <v>10.3</v>
      </c>
      <c r="H4" s="7"/>
      <c r="I4" s="7"/>
      <c r="J4" s="7"/>
      <c r="K4" s="14"/>
      <c r="L4" s="7"/>
      <c r="M4" s="7"/>
      <c r="N4" s="7"/>
      <c r="O4" s="7"/>
      <c r="P4" s="7"/>
      <c r="Q4" s="7"/>
      <c r="R4" s="7"/>
      <c r="S4" s="7"/>
      <c r="T4" s="7"/>
      <c r="U4" s="7"/>
      <c r="V4" s="7"/>
      <c r="W4" s="7"/>
      <c r="X4" s="7"/>
      <c r="Y4" s="7"/>
      <c r="Z4" s="7"/>
      <c r="AA4" s="7"/>
      <c r="AB4" s="7"/>
      <c r="AC4" s="7"/>
      <c r="AD4" s="7"/>
      <c r="AE4" s="7"/>
      <c r="AF4" s="7"/>
    </row>
    <row r="5" spans="3:32" ht="15">
      <c r="C5" s="9"/>
      <c r="E5" s="4">
        <v>22.4</v>
      </c>
      <c r="H5" s="7"/>
      <c r="I5" s="7"/>
      <c r="J5" s="7"/>
      <c r="K5" s="14"/>
      <c r="L5" s="7"/>
      <c r="M5" s="7"/>
      <c r="N5" s="7"/>
      <c r="O5" s="7"/>
      <c r="P5" s="7"/>
      <c r="Q5" s="7"/>
      <c r="R5" s="7"/>
      <c r="S5" s="7"/>
      <c r="T5" s="7"/>
      <c r="U5" s="7"/>
      <c r="V5" s="7"/>
      <c r="W5" s="7"/>
      <c r="X5" s="7"/>
      <c r="Y5" s="7"/>
      <c r="Z5" s="7"/>
      <c r="AA5" s="7"/>
      <c r="AB5" s="7"/>
      <c r="AC5" s="7"/>
      <c r="AD5" s="7"/>
      <c r="AE5" s="7"/>
      <c r="AF5" s="7"/>
    </row>
    <row r="6" spans="5:32" ht="14.25">
      <c r="E6" s="3">
        <v>38.2</v>
      </c>
      <c r="H6" s="7"/>
      <c r="I6" s="7" t="s">
        <v>74</v>
      </c>
      <c r="J6" s="7">
        <v>9507</v>
      </c>
      <c r="K6" s="14"/>
      <c r="L6" s="7"/>
      <c r="M6" s="7"/>
      <c r="N6" s="7"/>
      <c r="O6" s="7"/>
      <c r="P6" s="7"/>
      <c r="Q6" s="7"/>
      <c r="R6" s="7"/>
      <c r="S6" s="7"/>
      <c r="T6" s="7"/>
      <c r="U6" s="7"/>
      <c r="V6" s="7"/>
      <c r="W6" s="7"/>
      <c r="X6" s="7"/>
      <c r="Y6" s="7"/>
      <c r="Z6" s="7"/>
      <c r="AA6" s="7"/>
      <c r="AB6" s="7"/>
      <c r="AC6" s="7"/>
      <c r="AD6" s="7"/>
      <c r="AE6" s="7"/>
      <c r="AF6" s="7"/>
    </row>
    <row r="7" spans="5:32" ht="14.25">
      <c r="E7" s="3">
        <v>46</v>
      </c>
      <c r="H7" s="7"/>
      <c r="I7" s="7"/>
      <c r="J7" s="7"/>
      <c r="K7" s="14"/>
      <c r="L7" s="7"/>
      <c r="M7" s="7"/>
      <c r="N7" s="7"/>
      <c r="O7" s="7"/>
      <c r="P7" s="7"/>
      <c r="Q7" s="7"/>
      <c r="R7" s="7"/>
      <c r="S7" s="7"/>
      <c r="T7" s="7"/>
      <c r="U7" s="7"/>
      <c r="V7" s="7"/>
      <c r="W7" s="7"/>
      <c r="X7" s="7"/>
      <c r="Y7" s="7"/>
      <c r="Z7" s="7"/>
      <c r="AA7" s="7"/>
      <c r="AB7" s="7"/>
      <c r="AC7" s="7"/>
      <c r="AD7" s="7"/>
      <c r="AE7" s="7"/>
      <c r="AF7" s="7"/>
    </row>
    <row r="8" spans="2:32" ht="15">
      <c r="B8" s="2" t="s">
        <v>321</v>
      </c>
      <c r="C8" s="1">
        <v>85</v>
      </c>
      <c r="D8" s="1">
        <v>0.47</v>
      </c>
      <c r="E8" s="3">
        <v>6.8</v>
      </c>
      <c r="H8" s="7"/>
      <c r="I8" s="7" t="s">
        <v>42</v>
      </c>
      <c r="J8" s="7" t="s">
        <v>43</v>
      </c>
      <c r="K8" s="14" t="s">
        <v>44</v>
      </c>
      <c r="L8" s="7" t="s">
        <v>45</v>
      </c>
      <c r="M8" s="7"/>
      <c r="N8" s="7"/>
      <c r="O8" s="7"/>
      <c r="P8" s="7"/>
      <c r="Q8" s="7"/>
      <c r="R8" s="7"/>
      <c r="S8" s="7"/>
      <c r="T8" s="7"/>
      <c r="U8" s="7"/>
      <c r="V8" s="7"/>
      <c r="W8" s="7"/>
      <c r="X8" s="7"/>
      <c r="Y8" s="7"/>
      <c r="Z8" s="7"/>
      <c r="AA8" s="7"/>
      <c r="AB8" s="7"/>
      <c r="AC8" s="7"/>
      <c r="AD8" s="7"/>
      <c r="AE8" s="7"/>
      <c r="AF8" s="7"/>
    </row>
    <row r="9" spans="5:32" ht="15">
      <c r="E9" s="3">
        <v>14.06</v>
      </c>
      <c r="H9" s="7"/>
      <c r="I9" s="7"/>
      <c r="J9" s="7"/>
      <c r="K9" s="14"/>
      <c r="L9" s="13" t="s">
        <v>203</v>
      </c>
      <c r="M9" s="7"/>
      <c r="N9" s="7"/>
      <c r="O9" s="7"/>
      <c r="P9" s="7"/>
      <c r="Q9" s="7"/>
      <c r="R9" s="7"/>
      <c r="S9" s="7"/>
      <c r="T9" s="7"/>
      <c r="U9" s="7"/>
      <c r="V9" s="7"/>
      <c r="W9" s="7"/>
      <c r="X9" s="7"/>
      <c r="Y9" s="7"/>
      <c r="Z9" s="7"/>
      <c r="AA9" s="7"/>
      <c r="AB9" s="7"/>
      <c r="AC9" s="7"/>
      <c r="AD9" s="7"/>
      <c r="AE9" s="7"/>
      <c r="AF9" s="7"/>
    </row>
    <row r="10" spans="5:32" ht="14.25">
      <c r="E10" s="3">
        <v>31.4</v>
      </c>
      <c r="H10" s="7"/>
      <c r="I10" s="10">
        <v>37014</v>
      </c>
      <c r="J10" s="7">
        <v>6</v>
      </c>
      <c r="K10" s="14">
        <v>28</v>
      </c>
      <c r="L10" s="7">
        <v>71</v>
      </c>
      <c r="M10" s="7"/>
      <c r="N10" s="7"/>
      <c r="O10" s="7"/>
      <c r="P10" s="7"/>
      <c r="Q10" s="7"/>
      <c r="R10" s="7"/>
      <c r="S10" s="7"/>
      <c r="T10" s="7"/>
      <c r="U10" s="7"/>
      <c r="V10" s="7"/>
      <c r="W10" s="7"/>
      <c r="X10" s="7"/>
      <c r="Y10" s="7"/>
      <c r="Z10" s="7"/>
      <c r="AA10" s="7"/>
      <c r="AB10" s="7"/>
      <c r="AC10" s="7"/>
      <c r="AD10" s="7"/>
      <c r="AE10" s="7"/>
      <c r="AF10" s="7"/>
    </row>
    <row r="11" spans="5:25" ht="14.25">
      <c r="E11" s="3">
        <v>44.6</v>
      </c>
      <c r="H11" s="6"/>
      <c r="I11" s="6"/>
      <c r="J11" s="6"/>
      <c r="K11" s="16"/>
      <c r="L11" s="6"/>
      <c r="M11" s="6" t="s">
        <v>75</v>
      </c>
      <c r="N11" s="6" t="s">
        <v>76</v>
      </c>
      <c r="O11" s="6" t="s">
        <v>77</v>
      </c>
      <c r="P11" s="6" t="s">
        <v>78</v>
      </c>
      <c r="Q11" s="6" t="s">
        <v>79</v>
      </c>
      <c r="R11" s="6" t="s">
        <v>80</v>
      </c>
      <c r="S11" s="6" t="s">
        <v>81</v>
      </c>
      <c r="T11" s="6" t="s">
        <v>82</v>
      </c>
      <c r="U11" s="6" t="s">
        <v>83</v>
      </c>
      <c r="V11" s="6" t="s">
        <v>84</v>
      </c>
      <c r="W11" s="6" t="s">
        <v>85</v>
      </c>
      <c r="X11" s="6" t="s">
        <v>86</v>
      </c>
      <c r="Y11" s="6"/>
    </row>
    <row r="12" spans="13:23" ht="15">
      <c r="M12" s="4" t="s">
        <v>240</v>
      </c>
      <c r="W12" s="4" t="s">
        <v>241</v>
      </c>
    </row>
    <row r="13" spans="1:23" ht="15">
      <c r="A13" s="2"/>
      <c r="B13" s="2" t="s">
        <v>248</v>
      </c>
      <c r="C13" s="1">
        <v>84</v>
      </c>
      <c r="D13" s="1">
        <v>0.49</v>
      </c>
      <c r="E13" s="3">
        <v>5</v>
      </c>
      <c r="H13" s="23" t="s">
        <v>210</v>
      </c>
      <c r="L13" s="3" t="s">
        <v>96</v>
      </c>
      <c r="M13" s="3">
        <v>7.648661999999999</v>
      </c>
      <c r="N13" s="3">
        <v>7.404212</v>
      </c>
      <c r="O13" s="3">
        <v>5.490033333333334</v>
      </c>
      <c r="P13" s="3">
        <v>7.211295666666666</v>
      </c>
      <c r="Q13" s="3">
        <v>6.546573166666666</v>
      </c>
      <c r="R13" s="3">
        <v>4.2563941666666665</v>
      </c>
      <c r="S13" s="3">
        <v>4.700298833333334</v>
      </c>
      <c r="T13" s="3">
        <v>18.144448166666667</v>
      </c>
      <c r="U13" s="3">
        <v>15.064485</v>
      </c>
      <c r="V13" s="3">
        <v>2.490622</v>
      </c>
      <c r="W13" s="3">
        <f>SUM(M13:V13)</f>
        <v>78.95702433333334</v>
      </c>
    </row>
    <row r="14" spans="5:23" ht="15">
      <c r="E14" s="3">
        <v>11.6</v>
      </c>
      <c r="H14" s="23" t="s">
        <v>211</v>
      </c>
      <c r="L14" s="3" t="s">
        <v>88</v>
      </c>
      <c r="M14" s="3">
        <f>M13/$W$13</f>
        <v>0.09687120385527191</v>
      </c>
      <c r="N14" s="3">
        <f aca="true" t="shared" si="0" ref="N14:V14">N13/$W$13</f>
        <v>0.0937752158533938</v>
      </c>
      <c r="O14" s="3">
        <f t="shared" si="0"/>
        <v>0.06953191789695655</v>
      </c>
      <c r="P14" s="3">
        <f t="shared" si="0"/>
        <v>0.09133190780116911</v>
      </c>
      <c r="Q14" s="3">
        <f t="shared" si="0"/>
        <v>0.08291311915490836</v>
      </c>
      <c r="R14" s="3">
        <f t="shared" si="0"/>
        <v>0.05390773275215416</v>
      </c>
      <c r="S14" s="3">
        <f t="shared" si="0"/>
        <v>0.05952983756695357</v>
      </c>
      <c r="T14" s="3">
        <f t="shared" si="0"/>
        <v>0.2298015701562681</v>
      </c>
      <c r="U14" s="3">
        <f t="shared" si="0"/>
        <v>0.19079347438933583</v>
      </c>
      <c r="V14" s="3">
        <f t="shared" si="0"/>
        <v>0.03154402057358857</v>
      </c>
      <c r="W14" s="3">
        <f aca="true" t="shared" si="1" ref="W14:W19">SUM(M14:V14)</f>
        <v>1</v>
      </c>
    </row>
    <row r="15" spans="3:23" ht="15">
      <c r="C15" s="9"/>
      <c r="E15" s="3">
        <v>23.2</v>
      </c>
      <c r="H15" s="23" t="s">
        <v>212</v>
      </c>
      <c r="L15" s="3" t="s">
        <v>94</v>
      </c>
      <c r="M15" s="3">
        <v>12.766236499999998</v>
      </c>
      <c r="N15" s="3">
        <v>24.934276666666666</v>
      </c>
      <c r="O15" s="3">
        <v>22.457419666666667</v>
      </c>
      <c r="P15" s="3">
        <v>29.709585833333335</v>
      </c>
      <c r="Q15" s="3">
        <v>24.79524033333333</v>
      </c>
      <c r="R15" s="3">
        <v>20.732030666666663</v>
      </c>
      <c r="S15" s="3">
        <v>43.347403333333325</v>
      </c>
      <c r="T15" s="3">
        <v>49.169938333333334</v>
      </c>
      <c r="U15" s="3">
        <v>37.66197833333333</v>
      </c>
      <c r="V15" s="3">
        <v>16.4527725</v>
      </c>
      <c r="W15" s="3">
        <f t="shared" si="1"/>
        <v>282.0268821666666</v>
      </c>
    </row>
    <row r="16" spans="5:23" ht="15">
      <c r="E16" s="3">
        <v>38.2</v>
      </c>
      <c r="H16" s="23" t="s">
        <v>213</v>
      </c>
      <c r="L16" s="3" t="s">
        <v>95</v>
      </c>
      <c r="M16" s="3">
        <v>10.722166666666666</v>
      </c>
      <c r="N16" s="3">
        <v>22.377721666666663</v>
      </c>
      <c r="O16" s="3">
        <v>23.833278333333336</v>
      </c>
      <c r="P16" s="3">
        <v>28.347221666666666</v>
      </c>
      <c r="Q16" s="3">
        <v>26.8195</v>
      </c>
      <c r="R16" s="3">
        <v>19</v>
      </c>
      <c r="S16" s="3">
        <v>28.888833333333334</v>
      </c>
      <c r="T16" s="3">
        <v>44.55357166666666</v>
      </c>
      <c r="U16" s="3">
        <v>36.72828666666667</v>
      </c>
      <c r="V16" s="3">
        <v>18.583333333333332</v>
      </c>
      <c r="W16" s="3">
        <f t="shared" si="1"/>
        <v>259.85391333333337</v>
      </c>
    </row>
    <row r="17" spans="5:23" ht="15">
      <c r="E17" s="3">
        <v>42.9</v>
      </c>
      <c r="H17" s="23" t="s">
        <v>214</v>
      </c>
      <c r="L17" s="3" t="s">
        <v>89</v>
      </c>
      <c r="M17" s="3">
        <f>3.1415926*0.48*10</f>
        <v>15.07964448</v>
      </c>
      <c r="N17" s="3">
        <f aca="true" t="shared" si="2" ref="N17:S17">3.1415926*0.48*5</f>
        <v>7.53982224</v>
      </c>
      <c r="O17" s="3">
        <f t="shared" si="2"/>
        <v>7.53982224</v>
      </c>
      <c r="P17" s="3">
        <f t="shared" si="2"/>
        <v>7.53982224</v>
      </c>
      <c r="Q17" s="3">
        <f t="shared" si="2"/>
        <v>7.53982224</v>
      </c>
      <c r="R17" s="3">
        <f t="shared" si="2"/>
        <v>7.53982224</v>
      </c>
      <c r="S17" s="3">
        <f t="shared" si="2"/>
        <v>7.53982224</v>
      </c>
      <c r="T17" s="3">
        <f>3.1415926*0.48*10</f>
        <v>15.07964448</v>
      </c>
      <c r="U17" s="3">
        <f>3.1415926*0.48*10</f>
        <v>15.07964448</v>
      </c>
      <c r="V17" s="3">
        <f>3.1415926*0.48*6</f>
        <v>9.047786688</v>
      </c>
      <c r="W17" s="3">
        <f t="shared" si="1"/>
        <v>99.52565356800001</v>
      </c>
    </row>
    <row r="18" spans="1:23" ht="15">
      <c r="A18" s="2" t="s">
        <v>237</v>
      </c>
      <c r="B18" s="2" t="s">
        <v>238</v>
      </c>
      <c r="C18" s="1">
        <v>86</v>
      </c>
      <c r="D18" s="1">
        <v>0.49</v>
      </c>
      <c r="E18" s="3">
        <v>6</v>
      </c>
      <c r="H18" s="23" t="s">
        <v>215</v>
      </c>
      <c r="L18" s="3" t="s">
        <v>90</v>
      </c>
      <c r="M18" s="3">
        <f aca="true" t="shared" si="3" ref="M18:W18">M17/$W$17</f>
        <v>0.15151515151515152</v>
      </c>
      <c r="N18" s="3">
        <f t="shared" si="3"/>
        <v>0.07575757575757576</v>
      </c>
      <c r="O18" s="3">
        <f t="shared" si="3"/>
        <v>0.07575757575757576</v>
      </c>
      <c r="P18" s="3">
        <f t="shared" si="3"/>
        <v>0.07575757575757576</v>
      </c>
      <c r="Q18" s="3">
        <f t="shared" si="3"/>
        <v>0.07575757575757576</v>
      </c>
      <c r="R18" s="3">
        <f t="shared" si="3"/>
        <v>0.07575757575757576</v>
      </c>
      <c r="S18" s="3">
        <f t="shared" si="3"/>
        <v>0.07575757575757576</v>
      </c>
      <c r="T18" s="3">
        <f t="shared" si="3"/>
        <v>0.15151515151515152</v>
      </c>
      <c r="U18" s="3">
        <f t="shared" si="3"/>
        <v>0.15151515151515152</v>
      </c>
      <c r="V18" s="3">
        <f t="shared" si="3"/>
        <v>0.0909090909090909</v>
      </c>
      <c r="W18" s="3">
        <f t="shared" si="3"/>
        <v>1</v>
      </c>
    </row>
    <row r="19" spans="1:23" ht="15">
      <c r="A19" s="32" t="s">
        <v>39</v>
      </c>
      <c r="B19" s="33"/>
      <c r="E19" s="3">
        <v>14</v>
      </c>
      <c r="H19" s="23" t="s">
        <v>216</v>
      </c>
      <c r="L19" s="3" t="s">
        <v>91</v>
      </c>
      <c r="M19" s="3">
        <v>0</v>
      </c>
      <c r="N19" s="3">
        <v>0</v>
      </c>
      <c r="O19" s="3">
        <v>0</v>
      </c>
      <c r="P19" s="3">
        <v>0</v>
      </c>
      <c r="Q19" s="3">
        <v>0</v>
      </c>
      <c r="R19" s="3">
        <v>0</v>
      </c>
      <c r="S19" s="3">
        <v>0</v>
      </c>
      <c r="T19" s="3">
        <v>0</v>
      </c>
      <c r="U19" s="3">
        <v>0</v>
      </c>
      <c r="V19" s="3">
        <v>0</v>
      </c>
      <c r="W19" s="3">
        <f t="shared" si="1"/>
        <v>0</v>
      </c>
    </row>
    <row r="20" spans="1:23" ht="15">
      <c r="A20" s="32" t="s">
        <v>40</v>
      </c>
      <c r="B20" s="33"/>
      <c r="E20" s="3">
        <v>28.7</v>
      </c>
      <c r="H20" s="23" t="s">
        <v>217</v>
      </c>
      <c r="L20" s="3" t="s">
        <v>92</v>
      </c>
      <c r="M20" s="3">
        <v>0</v>
      </c>
      <c r="N20" s="3">
        <v>0</v>
      </c>
      <c r="O20" s="3">
        <v>0</v>
      </c>
      <c r="P20" s="3">
        <v>0</v>
      </c>
      <c r="Q20" s="3">
        <v>0</v>
      </c>
      <c r="R20" s="3">
        <v>0</v>
      </c>
      <c r="S20" s="3">
        <v>0</v>
      </c>
      <c r="T20" s="3">
        <v>0</v>
      </c>
      <c r="U20" s="3">
        <v>0</v>
      </c>
      <c r="V20" s="3">
        <v>0</v>
      </c>
      <c r="W20" s="3">
        <v>0</v>
      </c>
    </row>
    <row r="21" spans="5:34" ht="15">
      <c r="E21" s="3">
        <v>47</v>
      </c>
      <c r="H21" s="23" t="s">
        <v>218</v>
      </c>
      <c r="L21" s="3" t="s">
        <v>93</v>
      </c>
      <c r="M21" s="3">
        <f>M13+M17+M19</f>
        <v>22.72830648</v>
      </c>
      <c r="N21" s="3">
        <f aca="true" t="shared" si="4" ref="N21:W21">N13+N17+N19</f>
        <v>14.94403424</v>
      </c>
      <c r="O21" s="3">
        <f t="shared" si="4"/>
        <v>13.029855573333334</v>
      </c>
      <c r="P21" s="3">
        <f t="shared" si="4"/>
        <v>14.751117906666666</v>
      </c>
      <c r="Q21" s="3">
        <f t="shared" si="4"/>
        <v>14.086395406666666</v>
      </c>
      <c r="R21" s="3">
        <f>R13+R17+R19</f>
        <v>11.796216406666666</v>
      </c>
      <c r="S21" s="3">
        <f t="shared" si="4"/>
        <v>12.240121073333334</v>
      </c>
      <c r="T21" s="3">
        <f t="shared" si="4"/>
        <v>33.22409264666667</v>
      </c>
      <c r="U21" s="3">
        <f t="shared" si="4"/>
        <v>30.14412948</v>
      </c>
      <c r="V21" s="3">
        <f t="shared" si="4"/>
        <v>11.538408688</v>
      </c>
      <c r="W21" s="3">
        <f t="shared" si="4"/>
        <v>178.48267790133335</v>
      </c>
      <c r="AH21" s="6"/>
    </row>
    <row r="22" spans="5:23" ht="15">
      <c r="E22" s="3">
        <v>53.8</v>
      </c>
      <c r="H22" s="23" t="s">
        <v>219</v>
      </c>
      <c r="L22" s="4" t="s">
        <v>191</v>
      </c>
      <c r="M22" s="3">
        <f>M21/$W$21</f>
        <v>0.12734180564325906</v>
      </c>
      <c r="N22" s="3">
        <f aca="true" t="shared" si="5" ref="N22:W22">N21/$W$21</f>
        <v>0.08372820497606598</v>
      </c>
      <c r="O22" s="3">
        <f t="shared" si="5"/>
        <v>0.07300347421129764</v>
      </c>
      <c r="P22" s="3">
        <f t="shared" si="5"/>
        <v>0.08264733631361808</v>
      </c>
      <c r="Q22" s="3">
        <f t="shared" si="5"/>
        <v>0.07892303932403871</v>
      </c>
      <c r="R22" s="3">
        <f t="shared" si="5"/>
        <v>0.06609165968020554</v>
      </c>
      <c r="S22" s="3">
        <f t="shared" si="5"/>
        <v>0.06857876191268136</v>
      </c>
      <c r="T22" s="3">
        <f t="shared" si="5"/>
        <v>0.18614743479495088</v>
      </c>
      <c r="U22" s="3">
        <f t="shared" si="5"/>
        <v>0.16889106458086603</v>
      </c>
      <c r="V22" s="3">
        <f t="shared" si="5"/>
        <v>0.06464721856301665</v>
      </c>
      <c r="W22" s="3">
        <f t="shared" si="5"/>
        <v>1</v>
      </c>
    </row>
    <row r="23" spans="2:32" ht="15">
      <c r="B23" s="2" t="s">
        <v>239</v>
      </c>
      <c r="C23" s="1">
        <v>85</v>
      </c>
      <c r="D23" s="1">
        <v>0.49</v>
      </c>
      <c r="E23" s="3">
        <v>4.5</v>
      </c>
      <c r="H23" s="7"/>
      <c r="I23" s="7"/>
      <c r="J23" s="7"/>
      <c r="K23" s="14"/>
      <c r="L23" s="7" t="s">
        <v>46</v>
      </c>
      <c r="M23" s="7" t="s">
        <v>47</v>
      </c>
      <c r="N23" s="11">
        <v>37021</v>
      </c>
      <c r="O23" s="11">
        <v>37179</v>
      </c>
      <c r="P23" s="7" t="s">
        <v>48</v>
      </c>
      <c r="Q23" s="7" t="s">
        <v>49</v>
      </c>
      <c r="R23" s="7" t="s">
        <v>50</v>
      </c>
      <c r="S23" s="7" t="s">
        <v>51</v>
      </c>
      <c r="T23" s="7" t="s">
        <v>52</v>
      </c>
      <c r="U23" s="7" t="s">
        <v>53</v>
      </c>
      <c r="V23" s="7" t="s">
        <v>54</v>
      </c>
      <c r="W23" s="7" t="s">
        <v>55</v>
      </c>
      <c r="X23" s="7" t="s">
        <v>56</v>
      </c>
      <c r="Y23" s="7" t="s">
        <v>57</v>
      </c>
      <c r="Z23" s="7" t="s">
        <v>58</v>
      </c>
      <c r="AA23" s="7" t="s">
        <v>59</v>
      </c>
      <c r="AB23" s="7" t="s">
        <v>60</v>
      </c>
      <c r="AC23" s="7" t="s">
        <v>61</v>
      </c>
      <c r="AD23" s="7" t="s">
        <v>62</v>
      </c>
      <c r="AE23" s="7" t="s">
        <v>63</v>
      </c>
      <c r="AF23" s="7"/>
    </row>
    <row r="24" spans="5:32" ht="15">
      <c r="E24" s="3">
        <v>10.5</v>
      </c>
      <c r="H24" s="7"/>
      <c r="I24" s="7"/>
      <c r="J24" s="7"/>
      <c r="K24" s="14"/>
      <c r="L24" s="13" t="s">
        <v>234</v>
      </c>
      <c r="M24" s="7"/>
      <c r="N24" s="12"/>
      <c r="O24" s="12"/>
      <c r="P24" s="7"/>
      <c r="Q24" s="7"/>
      <c r="R24" s="7"/>
      <c r="S24" s="7"/>
      <c r="T24" s="7"/>
      <c r="U24" s="7"/>
      <c r="V24" s="7"/>
      <c r="W24" s="7"/>
      <c r="X24" s="7"/>
      <c r="Y24" s="7"/>
      <c r="Z24" s="7"/>
      <c r="AA24" s="7"/>
      <c r="AB24" s="7"/>
      <c r="AC24" s="7"/>
      <c r="AD24" s="7"/>
      <c r="AE24" s="13" t="s">
        <v>242</v>
      </c>
      <c r="AF24" s="7"/>
    </row>
    <row r="25" spans="5:32" ht="15">
      <c r="E25" s="3">
        <v>19.5</v>
      </c>
      <c r="H25" s="13" t="s">
        <v>220</v>
      </c>
      <c r="I25" s="7"/>
      <c r="J25" s="7"/>
      <c r="K25" s="14"/>
      <c r="L25" s="7" t="s">
        <v>97</v>
      </c>
      <c r="M25" s="7">
        <v>2.562638833333333</v>
      </c>
      <c r="N25" s="7">
        <v>2.3292555</v>
      </c>
      <c r="O25" s="7">
        <v>2.819122166666667</v>
      </c>
      <c r="P25" s="7">
        <v>6.630011166666667</v>
      </c>
      <c r="Q25" s="7">
        <v>3.0055693333333333</v>
      </c>
      <c r="R25" s="7">
        <v>6.018524833333333</v>
      </c>
      <c r="S25" s="7">
        <v>3.880644316666667</v>
      </c>
      <c r="T25" s="7">
        <v>9.190919833333334</v>
      </c>
      <c r="U25" s="7">
        <v>3.638219</v>
      </c>
      <c r="V25" s="7">
        <v>7.578466333333334</v>
      </c>
      <c r="W25" s="7">
        <v>5.862922166666667</v>
      </c>
      <c r="X25" s="7">
        <v>4.773930666666667</v>
      </c>
      <c r="Y25" s="7">
        <v>6.2110005</v>
      </c>
      <c r="Z25" s="7">
        <v>2.604744333333333</v>
      </c>
      <c r="AA25" s="7">
        <v>6.345741833333332</v>
      </c>
      <c r="AB25" s="7">
        <v>2.6987616666666665</v>
      </c>
      <c r="AC25" s="7">
        <v>2.1717221666666666</v>
      </c>
      <c r="AD25" s="7">
        <v>0</v>
      </c>
      <c r="AE25" s="7">
        <f>SUM(M25:AD25)</f>
        <v>78.32219465</v>
      </c>
      <c r="AF25" s="7"/>
    </row>
    <row r="26" spans="5:32" ht="15">
      <c r="E26" s="3">
        <v>38.6</v>
      </c>
      <c r="H26" s="13" t="s">
        <v>221</v>
      </c>
      <c r="I26" s="7"/>
      <c r="J26" s="7"/>
      <c r="K26" s="14"/>
      <c r="L26" s="7" t="s">
        <v>64</v>
      </c>
      <c r="M26" s="7">
        <v>0</v>
      </c>
      <c r="N26" s="7">
        <v>0</v>
      </c>
      <c r="O26" s="7">
        <v>0</v>
      </c>
      <c r="P26" s="7">
        <v>0</v>
      </c>
      <c r="Q26" s="7">
        <v>0</v>
      </c>
      <c r="R26" s="7">
        <v>0</v>
      </c>
      <c r="S26" s="7">
        <v>0</v>
      </c>
      <c r="T26" s="7">
        <v>0</v>
      </c>
      <c r="U26" s="7">
        <v>0</v>
      </c>
      <c r="V26" s="7">
        <v>0</v>
      </c>
      <c r="W26" s="7">
        <v>0</v>
      </c>
      <c r="X26" s="7">
        <v>0</v>
      </c>
      <c r="Y26" s="7">
        <v>0</v>
      </c>
      <c r="Z26" s="7">
        <v>0</v>
      </c>
      <c r="AA26" s="7">
        <v>0</v>
      </c>
      <c r="AB26" s="7">
        <v>0</v>
      </c>
      <c r="AC26" s="7">
        <f>3.1415*0.48*71</f>
        <v>107.06232</v>
      </c>
      <c r="AD26" s="7">
        <f>3.1415*0.39*71</f>
        <v>86.98813500000001</v>
      </c>
      <c r="AE26" s="7">
        <f>SUM(M26:AD26)</f>
        <v>194.050455</v>
      </c>
      <c r="AF26" s="7"/>
    </row>
    <row r="27" spans="5:32" ht="15">
      <c r="E27" s="3">
        <v>53.2</v>
      </c>
      <c r="H27" s="13" t="s">
        <v>222</v>
      </c>
      <c r="I27" s="7"/>
      <c r="J27" s="7"/>
      <c r="K27" s="14"/>
      <c r="L27" s="7" t="s">
        <v>65</v>
      </c>
      <c r="M27" s="7">
        <f>M25+M26</f>
        <v>2.562638833333333</v>
      </c>
      <c r="N27" s="7">
        <v>15.7776</v>
      </c>
      <c r="O27" s="7">
        <v>15.9637</v>
      </c>
      <c r="P27" s="7">
        <v>9.7297</v>
      </c>
      <c r="Q27" s="7">
        <v>13.0172</v>
      </c>
      <c r="R27" s="7">
        <v>15.175</v>
      </c>
      <c r="S27" s="7">
        <v>9.0759</v>
      </c>
      <c r="T27" s="7">
        <v>11.6235</v>
      </c>
      <c r="U27" s="7">
        <v>7.523</v>
      </c>
      <c r="V27" s="7">
        <v>14.344</v>
      </c>
      <c r="W27" s="7">
        <v>9.358</v>
      </c>
      <c r="X27" s="7">
        <v>15.0713</v>
      </c>
      <c r="Y27" s="7">
        <v>8.5356</v>
      </c>
      <c r="Z27" s="7">
        <v>9.2383</v>
      </c>
      <c r="AA27" s="7">
        <v>10.0258</v>
      </c>
      <c r="AB27" s="7">
        <v>5.6752</v>
      </c>
      <c r="AC27" s="7">
        <f>AC25+AC26</f>
        <v>109.23404216666667</v>
      </c>
      <c r="AD27" s="7">
        <f>AD26+AD25</f>
        <v>86.98813500000001</v>
      </c>
      <c r="AE27" s="7">
        <f>SUM(M27:AD27)</f>
        <v>368.918616</v>
      </c>
      <c r="AF27" s="7"/>
    </row>
    <row r="28" spans="2:32" ht="15">
      <c r="B28" s="2" t="s">
        <v>321</v>
      </c>
      <c r="C28" s="1">
        <v>86</v>
      </c>
      <c r="D28" s="1">
        <v>0.48</v>
      </c>
      <c r="E28" s="3">
        <v>8.3</v>
      </c>
      <c r="H28" s="13" t="s">
        <v>223</v>
      </c>
      <c r="I28" s="7"/>
      <c r="J28" s="7"/>
      <c r="K28" s="14"/>
      <c r="L28" s="7" t="s">
        <v>66</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row>
    <row r="29" spans="3:32" ht="15">
      <c r="C29" s="9"/>
      <c r="E29" s="3">
        <v>20</v>
      </c>
      <c r="H29" s="13" t="s">
        <v>224</v>
      </c>
      <c r="I29" s="7"/>
      <c r="J29" s="7"/>
      <c r="K29" s="14"/>
      <c r="L29" s="7" t="s">
        <v>67</v>
      </c>
      <c r="M29" s="7">
        <f aca="true" t="shared" si="6" ref="M29:AE29">M27+M28</f>
        <v>2.562638833333333</v>
      </c>
      <c r="N29" s="7">
        <f t="shared" si="6"/>
        <v>15.7776</v>
      </c>
      <c r="O29" s="7">
        <f t="shared" si="6"/>
        <v>15.9637</v>
      </c>
      <c r="P29" s="7">
        <f t="shared" si="6"/>
        <v>9.7297</v>
      </c>
      <c r="Q29" s="7">
        <f t="shared" si="6"/>
        <v>13.0172</v>
      </c>
      <c r="R29" s="7">
        <f t="shared" si="6"/>
        <v>15.175</v>
      </c>
      <c r="S29" s="7">
        <f t="shared" si="6"/>
        <v>9.0759</v>
      </c>
      <c r="T29" s="7">
        <f t="shared" si="6"/>
        <v>11.6235</v>
      </c>
      <c r="U29" s="7">
        <f t="shared" si="6"/>
        <v>7.523</v>
      </c>
      <c r="V29" s="7">
        <f t="shared" si="6"/>
        <v>14.344</v>
      </c>
      <c r="W29" s="7">
        <f t="shared" si="6"/>
        <v>9.358</v>
      </c>
      <c r="X29" s="7">
        <f t="shared" si="6"/>
        <v>15.0713</v>
      </c>
      <c r="Y29" s="7">
        <f t="shared" si="6"/>
        <v>8.5356</v>
      </c>
      <c r="Z29" s="7">
        <f t="shared" si="6"/>
        <v>9.2383</v>
      </c>
      <c r="AA29" s="7">
        <f t="shared" si="6"/>
        <v>10.0258</v>
      </c>
      <c r="AB29" s="7">
        <f t="shared" si="6"/>
        <v>5.6752</v>
      </c>
      <c r="AC29" s="7">
        <f t="shared" si="6"/>
        <v>109.23404216666667</v>
      </c>
      <c r="AD29" s="7">
        <f t="shared" si="6"/>
        <v>86.98813500000001</v>
      </c>
      <c r="AE29" s="7">
        <f t="shared" si="6"/>
        <v>368.918616</v>
      </c>
      <c r="AF29" s="7"/>
    </row>
    <row r="30" spans="3:32" ht="15">
      <c r="C30" s="9"/>
      <c r="E30" s="3">
        <v>40</v>
      </c>
      <c r="H30" s="13" t="s">
        <v>225</v>
      </c>
      <c r="I30" s="7"/>
      <c r="J30" s="7"/>
      <c r="K30" s="14"/>
      <c r="L30" s="7" t="s">
        <v>68</v>
      </c>
      <c r="M30" s="7">
        <f>M25/AE25</f>
        <v>0.03271919083453994</v>
      </c>
      <c r="N30" s="7">
        <f>N25/AE25</f>
        <v>0.029739405418972128</v>
      </c>
      <c r="O30" s="7">
        <f>O25/AE25</f>
        <v>0.03599391180577276</v>
      </c>
      <c r="P30" s="7">
        <f>P25/AE25</f>
        <v>0.08465047738121147</v>
      </c>
      <c r="Q30" s="7">
        <f>Q25/AE25</f>
        <v>0.03837442690114064</v>
      </c>
      <c r="R30" s="7">
        <f>R25/AE25</f>
        <v>0.0768431587014184</v>
      </c>
      <c r="S30" s="7">
        <f>S25/AE25</f>
        <v>0.04954718562226431</v>
      </c>
      <c r="T30" s="7">
        <f>T25/AE25</f>
        <v>0.11734757784054681</v>
      </c>
      <c r="U30" s="7">
        <f>U25/AE25</f>
        <v>0.04645195421627527</v>
      </c>
      <c r="V30" s="7">
        <f>V25/AE25</f>
        <v>0.09676013762381637</v>
      </c>
      <c r="W30" s="7">
        <f>W25/AE25</f>
        <v>0.07485645917950114</v>
      </c>
      <c r="X30" s="7">
        <f>X25/AE25</f>
        <v>0.06095246293850713</v>
      </c>
      <c r="Y30" s="7">
        <f>Y25/AE25</f>
        <v>0.07930064431615107</v>
      </c>
      <c r="Z30" s="7">
        <f>Z25/AE25</f>
        <v>0.033256784299433996</v>
      </c>
      <c r="AA30" s="7">
        <f>AA25/AE25</f>
        <v>0.08102099107016446</v>
      </c>
      <c r="AB30" s="7">
        <f>AB25/AE25</f>
        <v>0.034457176266914864</v>
      </c>
      <c r="AC30" s="7">
        <f>AC25/AE25</f>
        <v>0.02772805558336926</v>
      </c>
      <c r="AD30" s="7">
        <f>AD25/AE25</f>
        <v>0</v>
      </c>
      <c r="AE30" s="7">
        <f>AE25/AE25</f>
        <v>1</v>
      </c>
      <c r="AF30" s="7"/>
    </row>
    <row r="31" spans="5:32" ht="15">
      <c r="E31" s="3">
        <v>54</v>
      </c>
      <c r="H31" s="13" t="s">
        <v>226</v>
      </c>
      <c r="I31" s="7"/>
      <c r="J31" s="7"/>
      <c r="K31" s="14"/>
      <c r="L31" s="7" t="s">
        <v>69</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1</v>
      </c>
      <c r="AE31" s="7"/>
      <c r="AF31" s="7"/>
    </row>
    <row r="32" spans="8:32" ht="15">
      <c r="H32" s="13" t="s">
        <v>227</v>
      </c>
      <c r="I32" s="7"/>
      <c r="J32" s="7"/>
      <c r="K32" s="14"/>
      <c r="L32" s="7" t="s">
        <v>70</v>
      </c>
      <c r="M32" s="3">
        <f aca="true" t="shared" si="7" ref="M32:AE32">M27/$AE$27</f>
        <v>0.006946352724399609</v>
      </c>
      <c r="N32" s="3">
        <f t="shared" si="7"/>
        <v>0.04276715599518567</v>
      </c>
      <c r="O32" s="3">
        <f t="shared" si="7"/>
        <v>0.04327160329583368</v>
      </c>
      <c r="P32" s="3">
        <f t="shared" si="7"/>
        <v>0.026373567442853033</v>
      </c>
      <c r="Q32" s="3">
        <f t="shared" si="7"/>
        <v>0.03528474692098488</v>
      </c>
      <c r="R32" s="3">
        <f t="shared" si="7"/>
        <v>0.04113373340856294</v>
      </c>
      <c r="S32" s="3">
        <f t="shared" si="7"/>
        <v>0.02460136085949103</v>
      </c>
      <c r="T32" s="3">
        <f t="shared" si="7"/>
        <v>0.031506948947244234</v>
      </c>
      <c r="U32" s="3">
        <f t="shared" si="7"/>
        <v>0.020392031395889222</v>
      </c>
      <c r="V32" s="3">
        <f t="shared" si="7"/>
        <v>0.03888120408648611</v>
      </c>
      <c r="W32" s="3">
        <f t="shared" si="7"/>
        <v>0.02536602815402517</v>
      </c>
      <c r="X32" s="3">
        <f t="shared" si="7"/>
        <v>0.04085264160266719</v>
      </c>
      <c r="Y32" s="3">
        <f t="shared" si="7"/>
        <v>0.023136810206400647</v>
      </c>
      <c r="Z32" s="3">
        <f t="shared" si="7"/>
        <v>0.025041566349148402</v>
      </c>
      <c r="AA32" s="3">
        <f t="shared" si="7"/>
        <v>0.02717618348649557</v>
      </c>
      <c r="AB32" s="3">
        <f t="shared" si="7"/>
        <v>0.01538333863856846</v>
      </c>
      <c r="AC32" s="3">
        <f t="shared" si="7"/>
        <v>0.2960925185913271</v>
      </c>
      <c r="AD32" s="3">
        <f t="shared" si="7"/>
        <v>0.2357922078944371</v>
      </c>
      <c r="AE32" s="3">
        <f t="shared" si="7"/>
        <v>1</v>
      </c>
      <c r="AF32" s="7"/>
    </row>
    <row r="33" spans="8:32" ht="15">
      <c r="H33" s="13" t="s">
        <v>228</v>
      </c>
      <c r="I33" s="7"/>
      <c r="J33" s="7"/>
      <c r="K33" s="14"/>
      <c r="L33" s="7" t="s">
        <v>71</v>
      </c>
      <c r="M33" s="7">
        <f>M30</f>
        <v>0.03271919083453994</v>
      </c>
      <c r="N33" s="7">
        <f>M30+N30</f>
        <v>0.062458596253512064</v>
      </c>
      <c r="O33" s="7">
        <f aca="true" t="shared" si="8" ref="O33:AD33">N33+O30</f>
        <v>0.09845250805928482</v>
      </c>
      <c r="P33" s="7">
        <f t="shared" si="8"/>
        <v>0.1831029854404963</v>
      </c>
      <c r="Q33" s="7">
        <f t="shared" si="8"/>
        <v>0.22147741234163693</v>
      </c>
      <c r="R33" s="7">
        <f t="shared" si="8"/>
        <v>0.2983205710430553</v>
      </c>
      <c r="S33" s="7">
        <f t="shared" si="8"/>
        <v>0.3478677566653196</v>
      </c>
      <c r="T33" s="7">
        <f t="shared" si="8"/>
        <v>0.4652153345058664</v>
      </c>
      <c r="U33" s="7">
        <f t="shared" si="8"/>
        <v>0.5116672887221416</v>
      </c>
      <c r="V33" s="7">
        <f t="shared" si="8"/>
        <v>0.608427426345958</v>
      </c>
      <c r="W33" s="7">
        <f t="shared" si="8"/>
        <v>0.6832838855254592</v>
      </c>
      <c r="X33" s="7">
        <f t="shared" si="8"/>
        <v>0.7442363484639662</v>
      </c>
      <c r="Y33" s="7">
        <f t="shared" si="8"/>
        <v>0.8235369927801173</v>
      </c>
      <c r="Z33" s="7">
        <f t="shared" si="8"/>
        <v>0.8567937770795513</v>
      </c>
      <c r="AA33" s="7">
        <f t="shared" si="8"/>
        <v>0.9378147681497158</v>
      </c>
      <c r="AB33" s="7">
        <f t="shared" si="8"/>
        <v>0.9722719444166307</v>
      </c>
      <c r="AC33" s="7">
        <f t="shared" si="8"/>
        <v>0.9999999999999999</v>
      </c>
      <c r="AD33" s="7">
        <f t="shared" si="8"/>
        <v>0.9999999999999999</v>
      </c>
      <c r="AE33" s="7"/>
      <c r="AF33" s="7"/>
    </row>
    <row r="34" spans="8:32" ht="15">
      <c r="H34" s="13" t="s">
        <v>230</v>
      </c>
      <c r="I34" s="7"/>
      <c r="J34" s="7"/>
      <c r="K34" s="14"/>
      <c r="L34" s="7" t="s">
        <v>72</v>
      </c>
      <c r="M34" s="7">
        <f aca="true" t="shared" si="9" ref="M34:AC34">M33+M31</f>
        <v>0.03271919083453994</v>
      </c>
      <c r="N34" s="13">
        <f t="shared" si="9"/>
        <v>0.062458596253512064</v>
      </c>
      <c r="O34" s="13">
        <f t="shared" si="9"/>
        <v>0.09845250805928482</v>
      </c>
      <c r="P34" s="13">
        <f t="shared" si="9"/>
        <v>0.1831029854404963</v>
      </c>
      <c r="Q34" s="13">
        <f t="shared" si="9"/>
        <v>0.22147741234163693</v>
      </c>
      <c r="R34" s="13">
        <f t="shared" si="9"/>
        <v>0.2983205710430553</v>
      </c>
      <c r="S34" s="13">
        <f t="shared" si="9"/>
        <v>0.3478677566653196</v>
      </c>
      <c r="T34" s="13">
        <f t="shared" si="9"/>
        <v>0.4652153345058664</v>
      </c>
      <c r="U34" s="13">
        <f t="shared" si="9"/>
        <v>0.5116672887221416</v>
      </c>
      <c r="V34" s="13">
        <f t="shared" si="9"/>
        <v>0.608427426345958</v>
      </c>
      <c r="W34" s="13">
        <f t="shared" si="9"/>
        <v>0.6832838855254592</v>
      </c>
      <c r="X34" s="13">
        <f t="shared" si="9"/>
        <v>0.7442363484639662</v>
      </c>
      <c r="Y34" s="13">
        <f t="shared" si="9"/>
        <v>0.8235369927801173</v>
      </c>
      <c r="Z34" s="13">
        <f t="shared" si="9"/>
        <v>0.8567937770795513</v>
      </c>
      <c r="AA34" s="13">
        <f t="shared" si="9"/>
        <v>0.9378147681497158</v>
      </c>
      <c r="AB34" s="13">
        <f t="shared" si="9"/>
        <v>0.9722719444166307</v>
      </c>
      <c r="AC34" s="13">
        <f t="shared" si="9"/>
        <v>0.9999999999999999</v>
      </c>
      <c r="AD34" s="13"/>
      <c r="AE34" s="13"/>
      <c r="AF34" s="13"/>
    </row>
    <row r="35" spans="8:32" ht="14.25">
      <c r="H35" s="7" t="s">
        <v>229</v>
      </c>
      <c r="I35" s="7"/>
      <c r="J35" s="7"/>
      <c r="K35" s="14"/>
      <c r="L35" s="7" t="s">
        <v>73</v>
      </c>
      <c r="M35" s="7">
        <f>M32</f>
        <v>0.006946352724399609</v>
      </c>
      <c r="N35" s="7">
        <f aca="true" t="shared" si="10" ref="N35:AD35">M35+N32</f>
        <v>0.049713508719585284</v>
      </c>
      <c r="O35" s="7">
        <f t="shared" si="10"/>
        <v>0.09298511201541897</v>
      </c>
      <c r="P35" s="7">
        <f t="shared" si="10"/>
        <v>0.119358679458272</v>
      </c>
      <c r="Q35" s="7">
        <f t="shared" si="10"/>
        <v>0.15464342637925688</v>
      </c>
      <c r="R35" s="7">
        <f t="shared" si="10"/>
        <v>0.19577715978781982</v>
      </c>
      <c r="S35" s="7">
        <f t="shared" si="10"/>
        <v>0.22037852064731084</v>
      </c>
      <c r="T35" s="7">
        <f t="shared" si="10"/>
        <v>0.25188546959455504</v>
      </c>
      <c r="U35" s="7">
        <f t="shared" si="10"/>
        <v>0.2722775009904443</v>
      </c>
      <c r="V35" s="7">
        <f t="shared" si="10"/>
        <v>0.3111587050769304</v>
      </c>
      <c r="W35" s="7">
        <f t="shared" si="10"/>
        <v>0.33652473323095555</v>
      </c>
      <c r="X35" s="7">
        <f t="shared" si="10"/>
        <v>0.37737737483362277</v>
      </c>
      <c r="Y35" s="7">
        <f t="shared" si="10"/>
        <v>0.4005141850400234</v>
      </c>
      <c r="Z35" s="7">
        <f t="shared" si="10"/>
        <v>0.4255557513891718</v>
      </c>
      <c r="AA35" s="7">
        <f t="shared" si="10"/>
        <v>0.4527319348756674</v>
      </c>
      <c r="AB35" s="7">
        <f t="shared" si="10"/>
        <v>0.4681152735142358</v>
      </c>
      <c r="AC35" s="7">
        <f t="shared" si="10"/>
        <v>0.764207792105563</v>
      </c>
      <c r="AD35" s="7">
        <f t="shared" si="10"/>
        <v>1</v>
      </c>
      <c r="AE35" s="7"/>
      <c r="AF35" s="7"/>
    </row>
    <row r="36" spans="8:25" ht="14.25">
      <c r="H36" s="7"/>
      <c r="I36" s="7"/>
      <c r="J36" s="7"/>
      <c r="K36" s="14"/>
      <c r="L36" s="7"/>
      <c r="M36" s="7"/>
      <c r="N36" s="7"/>
      <c r="O36" s="7"/>
      <c r="P36" s="7"/>
      <c r="Q36" s="7"/>
      <c r="R36" s="7"/>
      <c r="S36" s="7"/>
      <c r="T36" s="7"/>
      <c r="U36" s="7"/>
      <c r="V36" s="7"/>
      <c r="W36" s="7"/>
      <c r="X36" s="7"/>
      <c r="Y36" s="7"/>
    </row>
    <row r="37" spans="8:11" ht="15">
      <c r="H37" s="4" t="s">
        <v>231</v>
      </c>
      <c r="K37" s="3"/>
    </row>
    <row r="38" spans="3:11" ht="14.25">
      <c r="C38" s="9"/>
      <c r="H38" s="1"/>
      <c r="K38" s="3"/>
    </row>
    <row r="39" spans="3:11" ht="14.25">
      <c r="C39" s="9"/>
      <c r="K39" s="3"/>
    </row>
    <row r="40" ht="14.25">
      <c r="K40" s="3"/>
    </row>
    <row r="41" ht="14.25">
      <c r="K41" s="3"/>
    </row>
    <row r="42" ht="14.25">
      <c r="K42" s="3"/>
    </row>
    <row r="43" ht="14.25">
      <c r="K43" s="3"/>
    </row>
    <row r="44" ht="14.25">
      <c r="K44" s="3"/>
    </row>
    <row r="45" ht="14.25">
      <c r="K45" s="3"/>
    </row>
    <row r="46" ht="14.25">
      <c r="K46" s="3"/>
    </row>
    <row r="48" ht="14.25">
      <c r="C48" s="9"/>
    </row>
    <row r="49" ht="14.25">
      <c r="C49" s="9"/>
    </row>
    <row r="54" ht="15">
      <c r="A54" s="2"/>
    </row>
    <row r="96" ht="15">
      <c r="A96" s="2"/>
    </row>
    <row r="138" ht="15">
      <c r="A138" s="2"/>
    </row>
    <row r="148" ht="15">
      <c r="A148" s="2"/>
    </row>
    <row r="189" ht="15">
      <c r="A189" s="2"/>
    </row>
  </sheetData>
  <mergeCells count="2">
    <mergeCell ref="A19:B19"/>
    <mergeCell ref="A20:B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T179"/>
  <sheetViews>
    <sheetView workbookViewId="0" topLeftCell="A1">
      <pane xSplit="5" ySplit="1" topLeftCell="F2" activePane="bottomRight" state="frozen"/>
      <selection pane="topLeft" activeCell="A1" sqref="A1"/>
      <selection pane="topRight" activeCell="D1" sqref="D1"/>
      <selection pane="bottomLeft" activeCell="A2" sqref="A2"/>
      <selection pane="bottomRight" activeCell="D5" sqref="D5"/>
    </sheetView>
  </sheetViews>
  <sheetFormatPr defaultColWidth="9.00390625" defaultRowHeight="14.25"/>
  <cols>
    <col min="1" max="1" width="10.125" style="15" customWidth="1"/>
    <col min="2" max="3" width="9.875" style="1" customWidth="1"/>
    <col min="4" max="4" width="10.25390625" style="1" customWidth="1"/>
    <col min="5" max="5" width="11.50390625" style="3" customWidth="1"/>
    <col min="6" max="6" width="3.125" style="3" customWidth="1"/>
    <col min="7" max="7" width="3.25390625" style="3" customWidth="1"/>
    <col min="8" max="8" width="11.00390625" style="3" customWidth="1"/>
    <col min="9" max="9" width="8.125" style="3" customWidth="1"/>
    <col min="10" max="10" width="6.75390625" style="3" customWidth="1"/>
    <col min="11" max="11" width="14.25390625" style="3" customWidth="1"/>
    <col min="12" max="70" width="4.75390625" style="3" customWidth="1"/>
    <col min="71" max="157" width="6.75390625" style="3" customWidth="1"/>
    <col min="158" max="16384" width="9.00390625" style="3" customWidth="1"/>
  </cols>
  <sheetData>
    <row r="1" spans="1:5" ht="12">
      <c r="A1" s="18" t="s">
        <v>195</v>
      </c>
      <c r="B1" s="22" t="s">
        <v>196</v>
      </c>
      <c r="C1" s="19" t="s">
        <v>197</v>
      </c>
      <c r="D1" s="19" t="s">
        <v>337</v>
      </c>
      <c r="E1" s="2" t="s">
        <v>198</v>
      </c>
    </row>
    <row r="2" spans="3:5" ht="11.25">
      <c r="C2" s="1">
        <v>90</v>
      </c>
      <c r="D2" s="1">
        <v>0.4</v>
      </c>
      <c r="E2" s="1">
        <v>1.8</v>
      </c>
    </row>
    <row r="3" spans="1:5" ht="12">
      <c r="A3" s="18" t="s">
        <v>246</v>
      </c>
      <c r="B3" s="2" t="s">
        <v>245</v>
      </c>
      <c r="E3" s="1">
        <v>4.1</v>
      </c>
    </row>
    <row r="4" spans="1:35" ht="12">
      <c r="A4" s="28" t="s">
        <v>162</v>
      </c>
      <c r="B4" s="28"/>
      <c r="E4" s="1">
        <v>7.4</v>
      </c>
      <c r="H4" s="7"/>
      <c r="I4" s="13" t="s">
        <v>232</v>
      </c>
      <c r="J4" s="7"/>
      <c r="K4" s="7"/>
      <c r="L4" s="7"/>
      <c r="M4" s="7"/>
      <c r="N4" s="7"/>
      <c r="O4" s="7"/>
      <c r="P4" s="7"/>
      <c r="Q4" s="7"/>
      <c r="R4" s="7"/>
      <c r="S4" s="7"/>
      <c r="T4" s="7"/>
      <c r="U4" s="7"/>
      <c r="V4" s="7"/>
      <c r="W4" s="7"/>
      <c r="X4" s="7"/>
      <c r="Y4" s="7"/>
      <c r="Z4" s="7"/>
      <c r="AA4" s="7"/>
      <c r="AB4" s="7"/>
      <c r="AC4" s="7"/>
      <c r="AD4" s="7"/>
      <c r="AE4" s="7"/>
      <c r="AF4" s="7"/>
      <c r="AG4" s="7"/>
      <c r="AH4" s="7"/>
      <c r="AI4" s="7"/>
    </row>
    <row r="5" spans="1:35" ht="12">
      <c r="A5" s="28" t="s">
        <v>163</v>
      </c>
      <c r="B5" s="28"/>
      <c r="E5" s="3">
        <v>7.4</v>
      </c>
      <c r="H5" s="7"/>
      <c r="I5" s="7"/>
      <c r="J5" s="7"/>
      <c r="K5" s="7"/>
      <c r="L5" s="7"/>
      <c r="M5" s="7"/>
      <c r="N5" s="7"/>
      <c r="O5" s="7"/>
      <c r="P5" s="7"/>
      <c r="Q5" s="7"/>
      <c r="R5" s="7"/>
      <c r="S5" s="7"/>
      <c r="T5" s="7"/>
      <c r="U5" s="7"/>
      <c r="V5" s="7"/>
      <c r="W5" s="7"/>
      <c r="X5" s="7"/>
      <c r="Y5" s="7"/>
      <c r="Z5" s="7"/>
      <c r="AA5" s="7"/>
      <c r="AB5" s="7"/>
      <c r="AC5" s="7"/>
      <c r="AD5" s="7"/>
      <c r="AE5" s="7"/>
      <c r="AF5" s="7"/>
      <c r="AG5" s="7"/>
      <c r="AH5" s="7"/>
      <c r="AI5" s="7"/>
    </row>
    <row r="6" spans="3:35" ht="11.25">
      <c r="C6" s="1">
        <v>89</v>
      </c>
      <c r="D6" s="1">
        <v>0.41</v>
      </c>
      <c r="E6" s="3">
        <v>1.4</v>
      </c>
      <c r="H6" s="7"/>
      <c r="I6" s="7" t="s">
        <v>41</v>
      </c>
      <c r="J6" s="7">
        <v>9428</v>
      </c>
      <c r="K6" s="7"/>
      <c r="L6" s="7"/>
      <c r="M6" s="7"/>
      <c r="N6" s="7"/>
      <c r="O6" s="7"/>
      <c r="P6" s="7"/>
      <c r="Q6" s="7"/>
      <c r="R6" s="7"/>
      <c r="S6" s="7"/>
      <c r="T6" s="7"/>
      <c r="U6" s="7"/>
      <c r="V6" s="7"/>
      <c r="W6" s="7"/>
      <c r="X6" s="7"/>
      <c r="Y6" s="7"/>
      <c r="Z6" s="7"/>
      <c r="AA6" s="7"/>
      <c r="AB6" s="7"/>
      <c r="AC6" s="7"/>
      <c r="AD6" s="7"/>
      <c r="AE6" s="7"/>
      <c r="AF6" s="7"/>
      <c r="AG6" s="7"/>
      <c r="AH6" s="7"/>
      <c r="AI6" s="7"/>
    </row>
    <row r="7" spans="2:35" ht="12">
      <c r="B7" s="2" t="s">
        <v>321</v>
      </c>
      <c r="E7" s="3">
        <v>2.5</v>
      </c>
      <c r="H7" s="7"/>
      <c r="I7" s="13" t="s">
        <v>200</v>
      </c>
      <c r="J7" s="13" t="s">
        <v>201</v>
      </c>
      <c r="K7" s="7"/>
      <c r="L7" s="7"/>
      <c r="M7" s="7"/>
      <c r="N7" s="7"/>
      <c r="O7" s="7"/>
      <c r="P7" s="7"/>
      <c r="Q7" s="7"/>
      <c r="R7" s="7"/>
      <c r="S7" s="7"/>
      <c r="T7" s="7"/>
      <c r="U7" s="7"/>
      <c r="V7" s="7"/>
      <c r="W7" s="7"/>
      <c r="X7" s="7"/>
      <c r="Y7" s="7"/>
      <c r="Z7" s="7"/>
      <c r="AA7" s="7"/>
      <c r="AB7" s="7"/>
      <c r="AC7" s="7"/>
      <c r="AD7" s="7"/>
      <c r="AE7" s="7"/>
      <c r="AF7" s="7"/>
      <c r="AG7" s="7"/>
      <c r="AH7" s="7"/>
      <c r="AI7" s="7"/>
    </row>
    <row r="8" spans="1:35" ht="12">
      <c r="A8" s="28" t="s">
        <v>164</v>
      </c>
      <c r="B8" s="28"/>
      <c r="E8" s="3">
        <v>2.5</v>
      </c>
      <c r="H8" s="7"/>
      <c r="I8" s="7" t="s">
        <v>42</v>
      </c>
      <c r="J8" s="7" t="s">
        <v>43</v>
      </c>
      <c r="K8" s="7" t="s">
        <v>44</v>
      </c>
      <c r="L8" s="7" t="s">
        <v>45</v>
      </c>
      <c r="M8" s="7"/>
      <c r="N8" s="7"/>
      <c r="O8" s="7"/>
      <c r="P8" s="7"/>
      <c r="Q8" s="7"/>
      <c r="R8" s="7"/>
      <c r="S8" s="7"/>
      <c r="T8" s="7"/>
      <c r="U8" s="7"/>
      <c r="V8" s="7"/>
      <c r="W8" s="7"/>
      <c r="X8" s="7"/>
      <c r="Y8" s="7"/>
      <c r="Z8" s="7"/>
      <c r="AA8" s="7"/>
      <c r="AB8" s="7"/>
      <c r="AC8" s="7"/>
      <c r="AD8" s="7"/>
      <c r="AE8" s="7"/>
      <c r="AF8" s="7"/>
      <c r="AG8" s="7"/>
      <c r="AH8" s="7"/>
      <c r="AI8" s="7"/>
    </row>
    <row r="9" spans="1:35" ht="12">
      <c r="A9" s="28" t="s">
        <v>165</v>
      </c>
      <c r="B9" s="28"/>
      <c r="C9" s="1">
        <v>90</v>
      </c>
      <c r="D9" s="1">
        <v>0.4</v>
      </c>
      <c r="E9" s="3">
        <v>3.2</v>
      </c>
      <c r="H9" s="7"/>
      <c r="I9" s="13" t="s">
        <v>202</v>
      </c>
      <c r="J9" s="13" t="s">
        <v>297</v>
      </c>
      <c r="K9" s="13" t="s">
        <v>244</v>
      </c>
      <c r="L9" s="13" t="s">
        <v>203</v>
      </c>
      <c r="M9" s="7"/>
      <c r="N9" s="7"/>
      <c r="O9" s="7"/>
      <c r="P9" s="7"/>
      <c r="Q9" s="7"/>
      <c r="R9" s="7"/>
      <c r="S9" s="7"/>
      <c r="T9" s="7"/>
      <c r="U9" s="7"/>
      <c r="V9" s="7"/>
      <c r="W9" s="7"/>
      <c r="X9" s="7"/>
      <c r="Y9" s="7"/>
      <c r="Z9" s="7"/>
      <c r="AA9" s="7"/>
      <c r="AB9" s="7"/>
      <c r="AC9" s="7"/>
      <c r="AD9" s="7"/>
      <c r="AE9" s="7"/>
      <c r="AF9" s="7"/>
      <c r="AG9" s="7"/>
      <c r="AH9" s="7"/>
      <c r="AI9" s="7"/>
    </row>
    <row r="10" spans="5:35" ht="11.25">
      <c r="E10" s="3">
        <v>4.9</v>
      </c>
      <c r="H10" s="7"/>
      <c r="I10" s="10">
        <v>36996</v>
      </c>
      <c r="J10" s="7">
        <v>20</v>
      </c>
      <c r="K10" s="7">
        <v>67</v>
      </c>
      <c r="L10" s="7">
        <v>28</v>
      </c>
      <c r="M10" s="7"/>
      <c r="N10" s="7"/>
      <c r="O10" s="7"/>
      <c r="P10" s="7"/>
      <c r="Q10" s="7"/>
      <c r="R10" s="7"/>
      <c r="S10" s="7"/>
      <c r="T10" s="7"/>
      <c r="U10" s="7"/>
      <c r="V10" s="7"/>
      <c r="W10" s="7"/>
      <c r="X10" s="7"/>
      <c r="Y10" s="7"/>
      <c r="Z10" s="7"/>
      <c r="AA10" s="7"/>
      <c r="AB10" s="7"/>
      <c r="AC10" s="7"/>
      <c r="AD10" s="7"/>
      <c r="AE10" s="7"/>
      <c r="AF10" s="7"/>
      <c r="AG10" s="7"/>
      <c r="AH10" s="7"/>
      <c r="AI10" s="7"/>
    </row>
    <row r="11" spans="2:35" ht="12">
      <c r="B11" s="2" t="s">
        <v>301</v>
      </c>
      <c r="E11" s="3">
        <v>4.9</v>
      </c>
      <c r="H11" s="6"/>
      <c r="I11" s="6"/>
      <c r="J11" s="6"/>
      <c r="K11" s="6"/>
      <c r="L11" s="6"/>
      <c r="M11" s="6" t="s">
        <v>75</v>
      </c>
      <c r="N11" s="6" t="s">
        <v>76</v>
      </c>
      <c r="O11" s="6" t="s">
        <v>77</v>
      </c>
      <c r="P11" s="6" t="s">
        <v>78</v>
      </c>
      <c r="Q11" s="6" t="s">
        <v>79</v>
      </c>
      <c r="R11" s="6" t="s">
        <v>80</v>
      </c>
      <c r="S11" s="6" t="s">
        <v>81</v>
      </c>
      <c r="T11" s="6" t="s">
        <v>82</v>
      </c>
      <c r="U11" s="6" t="s">
        <v>83</v>
      </c>
      <c r="V11" s="6" t="s">
        <v>84</v>
      </c>
      <c r="W11" s="6" t="s">
        <v>85</v>
      </c>
      <c r="X11" s="6" t="s">
        <v>86</v>
      </c>
      <c r="Y11" s="6"/>
      <c r="AG11" s="7"/>
      <c r="AH11" s="7"/>
      <c r="AI11" s="7"/>
    </row>
    <row r="12" spans="1:35" ht="12">
      <c r="A12" s="28" t="s">
        <v>166</v>
      </c>
      <c r="B12" s="29"/>
      <c r="C12" s="1">
        <v>90</v>
      </c>
      <c r="D12" s="1">
        <v>0.39</v>
      </c>
      <c r="E12" s="3">
        <v>1.7</v>
      </c>
      <c r="M12" s="3">
        <v>10</v>
      </c>
      <c r="N12" s="3">
        <v>15</v>
      </c>
      <c r="O12" s="3">
        <v>20</v>
      </c>
      <c r="P12" s="3">
        <v>25</v>
      </c>
      <c r="Q12" s="3">
        <v>30</v>
      </c>
      <c r="R12" s="3">
        <v>35</v>
      </c>
      <c r="S12" s="3">
        <v>40</v>
      </c>
      <c r="T12" s="3">
        <v>50</v>
      </c>
      <c r="U12" s="3">
        <v>60</v>
      </c>
      <c r="V12" s="3">
        <v>70</v>
      </c>
      <c r="W12" s="4" t="s">
        <v>241</v>
      </c>
      <c r="AG12" s="7"/>
      <c r="AH12" s="7"/>
      <c r="AI12" s="7"/>
    </row>
    <row r="13" spans="1:35" ht="12">
      <c r="A13" s="28" t="s">
        <v>167</v>
      </c>
      <c r="B13" s="29"/>
      <c r="E13" s="3">
        <v>3.5</v>
      </c>
      <c r="H13" s="23" t="s">
        <v>210</v>
      </c>
      <c r="L13" s="3" t="s">
        <v>96</v>
      </c>
      <c r="M13" s="3">
        <v>10.741960896965027</v>
      </c>
      <c r="N13" s="3">
        <v>4.106444186332703</v>
      </c>
      <c r="O13" s="3">
        <v>1.5307643858276367</v>
      </c>
      <c r="P13" s="3">
        <v>0.32588825225830076</v>
      </c>
      <c r="Q13" s="3">
        <v>0.04016551971435547</v>
      </c>
      <c r="R13" s="3">
        <v>0</v>
      </c>
      <c r="S13" s="3">
        <v>0</v>
      </c>
      <c r="T13" s="3">
        <v>0</v>
      </c>
      <c r="U13" s="3">
        <v>0</v>
      </c>
      <c r="V13" s="3">
        <v>0</v>
      </c>
      <c r="W13" s="3">
        <f>SUM(M13:V13)</f>
        <v>16.745223241098028</v>
      </c>
      <c r="AG13" s="7"/>
      <c r="AH13" s="7"/>
      <c r="AI13" s="7"/>
    </row>
    <row r="14" spans="5:35" ht="12">
      <c r="E14" s="3">
        <v>8.2</v>
      </c>
      <c r="H14" s="23" t="s">
        <v>211</v>
      </c>
      <c r="L14" s="3" t="s">
        <v>88</v>
      </c>
      <c r="M14" s="3">
        <f aca="true" t="shared" si="0" ref="M14:V14">M13/$W$13</f>
        <v>0.6414940393628726</v>
      </c>
      <c r="N14" s="3">
        <f t="shared" si="0"/>
        <v>0.2452307817703022</v>
      </c>
      <c r="O14" s="3">
        <f t="shared" si="0"/>
        <v>0.09141498824994229</v>
      </c>
      <c r="P14" s="3">
        <f t="shared" si="0"/>
        <v>0.019461565102247714</v>
      </c>
      <c r="Q14" s="3">
        <f t="shared" si="0"/>
        <v>0.002398625514634925</v>
      </c>
      <c r="R14" s="3">
        <f t="shared" si="0"/>
        <v>0</v>
      </c>
      <c r="S14" s="3">
        <f t="shared" si="0"/>
        <v>0</v>
      </c>
      <c r="T14" s="3">
        <f t="shared" si="0"/>
        <v>0</v>
      </c>
      <c r="U14" s="3">
        <f t="shared" si="0"/>
        <v>0</v>
      </c>
      <c r="V14" s="3">
        <f t="shared" si="0"/>
        <v>0</v>
      </c>
      <c r="W14" s="3">
        <f aca="true" t="shared" si="1" ref="W14:W19">SUM(M14:V14)</f>
        <v>0.9999999999999998</v>
      </c>
      <c r="AG14" s="7"/>
      <c r="AH14" s="7"/>
      <c r="AI14" s="7"/>
    </row>
    <row r="15" spans="2:35" ht="12">
      <c r="B15" s="2" t="s">
        <v>204</v>
      </c>
      <c r="E15" s="3">
        <v>8.2</v>
      </c>
      <c r="H15" s="23" t="s">
        <v>212</v>
      </c>
      <c r="L15" s="4" t="s">
        <v>168</v>
      </c>
      <c r="M15" s="3">
        <v>48.41343049536133</v>
      </c>
      <c r="N15" s="3">
        <v>56.57357640414428</v>
      </c>
      <c r="O15" s="3">
        <v>29.035453437286378</v>
      </c>
      <c r="P15" s="3">
        <v>16.348539352416992</v>
      </c>
      <c r="Q15" s="3">
        <v>3.500005340576172</v>
      </c>
      <c r="R15" s="3">
        <v>0</v>
      </c>
      <c r="S15" s="3">
        <v>0</v>
      </c>
      <c r="T15" s="3">
        <v>0</v>
      </c>
      <c r="U15" s="3">
        <v>0</v>
      </c>
      <c r="V15" s="3">
        <v>0</v>
      </c>
      <c r="W15" s="3">
        <f t="shared" si="1"/>
        <v>153.87100502978515</v>
      </c>
      <c r="AG15" s="7"/>
      <c r="AH15" s="7"/>
      <c r="AI15" s="7"/>
    </row>
    <row r="16" spans="1:35" ht="12">
      <c r="A16" s="28" t="s">
        <v>169</v>
      </c>
      <c r="B16" s="29"/>
      <c r="C16" s="1">
        <v>90</v>
      </c>
      <c r="D16" s="1">
        <v>0.38</v>
      </c>
      <c r="E16" s="3">
        <v>1.5</v>
      </c>
      <c r="H16" s="23" t="s">
        <v>213</v>
      </c>
      <c r="L16" s="3" t="s">
        <v>170</v>
      </c>
      <c r="M16" s="3">
        <v>52.81511840048218</v>
      </c>
      <c r="N16" s="3">
        <v>62.48249988555908</v>
      </c>
      <c r="O16" s="3">
        <v>39.28499980926514</v>
      </c>
      <c r="P16" s="3">
        <v>16.625</v>
      </c>
      <c r="Q16" s="3">
        <v>3.5</v>
      </c>
      <c r="R16" s="3">
        <v>0</v>
      </c>
      <c r="S16" s="3">
        <v>0</v>
      </c>
      <c r="T16" s="3">
        <v>0</v>
      </c>
      <c r="U16" s="3">
        <v>0</v>
      </c>
      <c r="V16" s="3">
        <v>0</v>
      </c>
      <c r="W16" s="3">
        <f t="shared" si="1"/>
        <v>174.7076180953064</v>
      </c>
      <c r="AG16" s="7"/>
      <c r="AH16" s="7"/>
      <c r="AI16" s="7"/>
    </row>
    <row r="17" spans="1:35" ht="12">
      <c r="A17" s="28" t="s">
        <v>171</v>
      </c>
      <c r="B17" s="29"/>
      <c r="E17" s="3">
        <v>2.5</v>
      </c>
      <c r="H17" s="23" t="s">
        <v>214</v>
      </c>
      <c r="L17" s="3" t="s">
        <v>89</v>
      </c>
      <c r="M17" s="3">
        <f>3.1415926*0.38*10</f>
        <v>11.93805188</v>
      </c>
      <c r="N17" s="3">
        <f>3.1415926*0.38*5</f>
        <v>5.96902594</v>
      </c>
      <c r="O17" s="3">
        <f>3.1415926*0.38*5</f>
        <v>5.96902594</v>
      </c>
      <c r="P17" s="3">
        <f>3.1415926*0.38*5</f>
        <v>5.96902594</v>
      </c>
      <c r="Q17" s="3">
        <f>3.1415926*0.38*1</f>
        <v>1.193805188</v>
      </c>
      <c r="R17" s="3">
        <v>0</v>
      </c>
      <c r="S17" s="3">
        <v>0</v>
      </c>
      <c r="T17" s="3">
        <v>0</v>
      </c>
      <c r="U17" s="3">
        <v>0</v>
      </c>
      <c r="V17" s="3">
        <v>0</v>
      </c>
      <c r="W17" s="3">
        <f t="shared" si="1"/>
        <v>31.038934888</v>
      </c>
      <c r="AG17" s="7"/>
      <c r="AH17" s="7"/>
      <c r="AI17" s="7"/>
    </row>
    <row r="18" spans="5:35" ht="12">
      <c r="E18" s="3">
        <v>6.6</v>
      </c>
      <c r="H18" s="23" t="s">
        <v>215</v>
      </c>
      <c r="L18" s="3" t="s">
        <v>90</v>
      </c>
      <c r="M18" s="3">
        <f aca="true" t="shared" si="2" ref="M18:W18">M17/$W$17</f>
        <v>0.3846153846153846</v>
      </c>
      <c r="N18" s="3">
        <f t="shared" si="2"/>
        <v>0.1923076923076923</v>
      </c>
      <c r="O18" s="3">
        <f t="shared" si="2"/>
        <v>0.1923076923076923</v>
      </c>
      <c r="P18" s="3">
        <f t="shared" si="2"/>
        <v>0.1923076923076923</v>
      </c>
      <c r="Q18" s="3">
        <f t="shared" si="2"/>
        <v>0.038461538461538464</v>
      </c>
      <c r="R18" s="3">
        <f t="shared" si="2"/>
        <v>0</v>
      </c>
      <c r="S18" s="3">
        <f t="shared" si="2"/>
        <v>0</v>
      </c>
      <c r="T18" s="3">
        <f t="shared" si="2"/>
        <v>0</v>
      </c>
      <c r="U18" s="3">
        <f t="shared" si="2"/>
        <v>0</v>
      </c>
      <c r="V18" s="3">
        <f t="shared" si="2"/>
        <v>0</v>
      </c>
      <c r="W18" s="3">
        <f t="shared" si="2"/>
        <v>1</v>
      </c>
      <c r="AG18" s="7"/>
      <c r="AH18" s="7"/>
      <c r="AI18" s="7"/>
    </row>
    <row r="19" spans="2:35" ht="12">
      <c r="B19" s="2" t="s">
        <v>205</v>
      </c>
      <c r="E19" s="3">
        <v>6.6</v>
      </c>
      <c r="H19" s="23" t="s">
        <v>216</v>
      </c>
      <c r="L19" s="3" t="s">
        <v>91</v>
      </c>
      <c r="M19" s="3">
        <v>0</v>
      </c>
      <c r="N19" s="3">
        <v>0</v>
      </c>
      <c r="O19" s="3">
        <v>0</v>
      </c>
      <c r="P19" s="3">
        <v>0</v>
      </c>
      <c r="Q19" s="3">
        <v>0</v>
      </c>
      <c r="R19" s="3">
        <v>0</v>
      </c>
      <c r="S19" s="3">
        <v>0</v>
      </c>
      <c r="T19" s="3">
        <v>0</v>
      </c>
      <c r="U19" s="3">
        <v>0</v>
      </c>
      <c r="V19" s="3">
        <v>0</v>
      </c>
      <c r="W19" s="3">
        <f t="shared" si="1"/>
        <v>0</v>
      </c>
      <c r="AG19" s="7"/>
      <c r="AH19" s="7"/>
      <c r="AI19" s="7"/>
    </row>
    <row r="20" spans="1:35" ht="12">
      <c r="A20" s="28" t="s">
        <v>169</v>
      </c>
      <c r="B20" s="29"/>
      <c r="C20" s="1">
        <v>90</v>
      </c>
      <c r="D20" s="1">
        <v>0.4</v>
      </c>
      <c r="E20" s="3">
        <v>2.6</v>
      </c>
      <c r="H20" s="23" t="s">
        <v>217</v>
      </c>
      <c r="L20" s="3" t="s">
        <v>92</v>
      </c>
      <c r="M20" s="3">
        <v>0</v>
      </c>
      <c r="N20" s="3">
        <v>0</v>
      </c>
      <c r="O20" s="3">
        <v>0</v>
      </c>
      <c r="P20" s="3">
        <v>0</v>
      </c>
      <c r="Q20" s="3">
        <v>0</v>
      </c>
      <c r="R20" s="3">
        <v>0</v>
      </c>
      <c r="S20" s="3">
        <v>0</v>
      </c>
      <c r="T20" s="3">
        <v>0</v>
      </c>
      <c r="U20" s="3">
        <v>0</v>
      </c>
      <c r="V20" s="3">
        <v>0</v>
      </c>
      <c r="W20" s="3">
        <v>0</v>
      </c>
      <c r="AG20" s="7"/>
      <c r="AH20" s="7"/>
      <c r="AI20" s="7"/>
    </row>
    <row r="21" spans="1:35" ht="12">
      <c r="A21" s="28" t="s">
        <v>172</v>
      </c>
      <c r="B21" s="29"/>
      <c r="E21" s="3">
        <v>4.5</v>
      </c>
      <c r="H21" s="23" t="s">
        <v>218</v>
      </c>
      <c r="L21" s="3" t="s">
        <v>93</v>
      </c>
      <c r="M21" s="3">
        <f aca="true" t="shared" si="3" ref="M21:W21">M13+M17+M19</f>
        <v>22.68001277696503</v>
      </c>
      <c r="N21" s="3">
        <f t="shared" si="3"/>
        <v>10.075470126332704</v>
      </c>
      <c r="O21" s="3">
        <f t="shared" si="3"/>
        <v>7.499790325827637</v>
      </c>
      <c r="P21" s="3">
        <f t="shared" si="3"/>
        <v>6.2949141922583</v>
      </c>
      <c r="Q21" s="3">
        <f t="shared" si="3"/>
        <v>1.2339707077143556</v>
      </c>
      <c r="R21" s="3">
        <f t="shared" si="3"/>
        <v>0</v>
      </c>
      <c r="S21" s="3">
        <f t="shared" si="3"/>
        <v>0</v>
      </c>
      <c r="T21" s="3">
        <f t="shared" si="3"/>
        <v>0</v>
      </c>
      <c r="U21" s="3">
        <f t="shared" si="3"/>
        <v>0</v>
      </c>
      <c r="V21" s="3">
        <f t="shared" si="3"/>
        <v>0</v>
      </c>
      <c r="W21" s="3">
        <f t="shared" si="3"/>
        <v>47.78415812909803</v>
      </c>
      <c r="AG21" s="7"/>
      <c r="AH21" s="7"/>
      <c r="AI21" s="7"/>
    </row>
    <row r="22" spans="5:228" ht="12">
      <c r="E22" s="3">
        <v>4.5</v>
      </c>
      <c r="H22" s="23" t="s">
        <v>219</v>
      </c>
      <c r="L22" s="3" t="s">
        <v>93</v>
      </c>
      <c r="M22" s="3">
        <f>M21/$W$21</f>
        <v>0.4746345580828408</v>
      </c>
      <c r="N22" s="3">
        <f aca="true" t="shared" si="4" ref="N22:W22">N21/$W$21</f>
        <v>0.21085377499195226</v>
      </c>
      <c r="O22" s="3">
        <f t="shared" si="4"/>
        <v>0.15695139601634334</v>
      </c>
      <c r="P22" s="3">
        <f t="shared" si="4"/>
        <v>0.13173642560053872</v>
      </c>
      <c r="Q22" s="3">
        <f t="shared" si="4"/>
        <v>0.02582384530832474</v>
      </c>
      <c r="R22" s="3">
        <f t="shared" si="4"/>
        <v>0</v>
      </c>
      <c r="S22" s="3">
        <f t="shared" si="4"/>
        <v>0</v>
      </c>
      <c r="T22" s="3">
        <f t="shared" si="4"/>
        <v>0</v>
      </c>
      <c r="U22" s="3">
        <f t="shared" si="4"/>
        <v>0</v>
      </c>
      <c r="V22" s="3">
        <f t="shared" si="4"/>
        <v>0</v>
      </c>
      <c r="W22" s="3">
        <f t="shared" si="4"/>
        <v>1</v>
      </c>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row>
    <row r="23" spans="2:35" ht="12">
      <c r="B23" s="2" t="s">
        <v>298</v>
      </c>
      <c r="C23" s="1">
        <v>89</v>
      </c>
      <c r="D23" s="1">
        <v>0.39</v>
      </c>
      <c r="E23" s="3">
        <v>1</v>
      </c>
      <c r="H23" s="7"/>
      <c r="I23" s="7"/>
      <c r="J23" s="7"/>
      <c r="K23" s="7"/>
      <c r="L23" s="7" t="s">
        <v>46</v>
      </c>
      <c r="M23" s="7" t="s">
        <v>47</v>
      </c>
      <c r="N23" s="11">
        <v>37021</v>
      </c>
      <c r="O23" s="11">
        <v>37179</v>
      </c>
      <c r="P23" s="7" t="s">
        <v>48</v>
      </c>
      <c r="Q23" s="7" t="s">
        <v>49</v>
      </c>
      <c r="R23" s="7" t="s">
        <v>50</v>
      </c>
      <c r="S23" s="7" t="s">
        <v>51</v>
      </c>
      <c r="T23" s="7" t="s">
        <v>52</v>
      </c>
      <c r="U23" s="7" t="s">
        <v>53</v>
      </c>
      <c r="V23" s="7" t="s">
        <v>54</v>
      </c>
      <c r="W23" s="7" t="s">
        <v>55</v>
      </c>
      <c r="X23" s="7" t="s">
        <v>56</v>
      </c>
      <c r="Y23" s="7" t="s">
        <v>57</v>
      </c>
      <c r="Z23" s="7" t="s">
        <v>58</v>
      </c>
      <c r="AA23" s="7" t="s">
        <v>59</v>
      </c>
      <c r="AB23" s="7" t="s">
        <v>60</v>
      </c>
      <c r="AC23" s="7" t="s">
        <v>61</v>
      </c>
      <c r="AD23" s="7" t="s">
        <v>62</v>
      </c>
      <c r="AE23" s="7" t="s">
        <v>63</v>
      </c>
      <c r="AF23" s="7"/>
      <c r="AG23" s="7"/>
      <c r="AH23" s="7"/>
      <c r="AI23" s="7"/>
    </row>
    <row r="24" spans="1:35" ht="12">
      <c r="A24" s="28" t="s">
        <v>173</v>
      </c>
      <c r="B24" s="29"/>
      <c r="E24" s="3">
        <v>5.2</v>
      </c>
      <c r="H24" s="7"/>
      <c r="I24" s="7"/>
      <c r="J24" s="7"/>
      <c r="K24" s="7"/>
      <c r="L24" s="13" t="s">
        <v>234</v>
      </c>
      <c r="M24" s="7"/>
      <c r="N24" s="12"/>
      <c r="O24" s="12"/>
      <c r="P24" s="7"/>
      <c r="Q24" s="7"/>
      <c r="R24" s="7"/>
      <c r="S24" s="7"/>
      <c r="T24" s="7"/>
      <c r="U24" s="7"/>
      <c r="V24" s="7"/>
      <c r="W24" s="7"/>
      <c r="X24" s="7"/>
      <c r="Y24" s="7"/>
      <c r="Z24" s="7"/>
      <c r="AA24" s="7"/>
      <c r="AB24" s="7"/>
      <c r="AC24" s="7"/>
      <c r="AD24" s="7"/>
      <c r="AE24" s="13" t="s">
        <v>236</v>
      </c>
      <c r="AF24" s="7"/>
      <c r="AG24" s="7"/>
      <c r="AH24" s="7"/>
      <c r="AI24" s="7"/>
    </row>
    <row r="25" spans="1:32" ht="12">
      <c r="A25" s="28" t="s">
        <v>174</v>
      </c>
      <c r="B25" s="29"/>
      <c r="E25" s="3">
        <v>6</v>
      </c>
      <c r="H25" s="13" t="s">
        <v>220</v>
      </c>
      <c r="I25" s="7"/>
      <c r="J25" s="7"/>
      <c r="K25" s="7"/>
      <c r="L25" s="7" t="s">
        <v>97</v>
      </c>
      <c r="M25" s="7">
        <v>0.09041666984558105</v>
      </c>
      <c r="N25" s="7">
        <v>0.9174083590507507</v>
      </c>
      <c r="O25" s="7">
        <v>0.35625417828559874</v>
      </c>
      <c r="P25" s="7">
        <v>0.35024998188018797</v>
      </c>
      <c r="Q25" s="7">
        <v>0.7628041588691712</v>
      </c>
      <c r="R25" s="7">
        <v>0.6548328936100006</v>
      </c>
      <c r="S25" s="7">
        <v>0.4959062367675543</v>
      </c>
      <c r="T25" s="7">
        <v>0.8662312418222428</v>
      </c>
      <c r="U25" s="7">
        <v>0.5994624957561493</v>
      </c>
      <c r="V25" s="7">
        <v>1.0524333596229554</v>
      </c>
      <c r="W25" s="7">
        <v>0.728849995136261</v>
      </c>
      <c r="X25" s="7">
        <v>1.2462025344371797</v>
      </c>
      <c r="Y25" s="7">
        <v>1.1597749828723907</v>
      </c>
      <c r="Z25" s="7">
        <v>1.4523000240325927</v>
      </c>
      <c r="AA25" s="7">
        <v>2.5883250175714494</v>
      </c>
      <c r="AB25" s="7">
        <v>1.5341491043567657</v>
      </c>
      <c r="AC25" s="7">
        <v>1.8896217226982117</v>
      </c>
      <c r="AD25" s="7">
        <v>0</v>
      </c>
      <c r="AE25" s="7">
        <f>SUM(M25:AD25)</f>
        <v>16.74522295661504</v>
      </c>
      <c r="AF25" s="7"/>
    </row>
    <row r="26" spans="5:32" ht="12">
      <c r="E26" s="3">
        <v>6</v>
      </c>
      <c r="H26" s="13" t="s">
        <v>221</v>
      </c>
      <c r="I26" s="7"/>
      <c r="J26" s="7"/>
      <c r="K26" s="7"/>
      <c r="L26" s="7" t="s">
        <v>64</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f>3.1415*0.39</f>
        <v>1.2251850000000002</v>
      </c>
      <c r="AE26" s="7">
        <f>SUM(M26:AD26)</f>
        <v>1.2251850000000002</v>
      </c>
      <c r="AF26" s="7"/>
    </row>
    <row r="27" spans="2:32" ht="12">
      <c r="B27" s="2" t="s">
        <v>206</v>
      </c>
      <c r="C27" s="1">
        <v>89</v>
      </c>
      <c r="D27" s="1">
        <v>0.38</v>
      </c>
      <c r="E27" s="3">
        <v>0.5</v>
      </c>
      <c r="H27" s="13" t="s">
        <v>222</v>
      </c>
      <c r="I27" s="7"/>
      <c r="J27" s="7"/>
      <c r="K27" s="7"/>
      <c r="L27" s="7" t="s">
        <v>65</v>
      </c>
      <c r="M27" s="7">
        <f>M25+M26</f>
        <v>0.09041666984558105</v>
      </c>
      <c r="N27" s="7">
        <f>N25+N26</f>
        <v>0.9174083590507507</v>
      </c>
      <c r="O27" s="7">
        <f aca="true" t="shared" si="5" ref="O27:AD27">O25+O26</f>
        <v>0.35625417828559874</v>
      </c>
      <c r="P27" s="7">
        <f t="shared" si="5"/>
        <v>0.35024998188018797</v>
      </c>
      <c r="Q27" s="7">
        <f t="shared" si="5"/>
        <v>0.7628041588691712</v>
      </c>
      <c r="R27" s="7">
        <f t="shared" si="5"/>
        <v>0.6548328936100006</v>
      </c>
      <c r="S27" s="7">
        <f t="shared" si="5"/>
        <v>0.4959062367675543</v>
      </c>
      <c r="T27" s="7">
        <f t="shared" si="5"/>
        <v>0.8662312418222428</v>
      </c>
      <c r="U27" s="7">
        <f t="shared" si="5"/>
        <v>0.5994624957561493</v>
      </c>
      <c r="V27" s="7">
        <f t="shared" si="5"/>
        <v>1.0524333596229554</v>
      </c>
      <c r="W27" s="7">
        <f t="shared" si="5"/>
        <v>0.728849995136261</v>
      </c>
      <c r="X27" s="7">
        <f t="shared" si="5"/>
        <v>1.2462025344371797</v>
      </c>
      <c r="Y27" s="7">
        <f t="shared" si="5"/>
        <v>1.1597749828723907</v>
      </c>
      <c r="Z27" s="7">
        <f t="shared" si="5"/>
        <v>1.4523000240325927</v>
      </c>
      <c r="AA27" s="7">
        <f t="shared" si="5"/>
        <v>2.5883250175714494</v>
      </c>
      <c r="AB27" s="7">
        <f t="shared" si="5"/>
        <v>1.5341491043567657</v>
      </c>
      <c r="AC27" s="7">
        <f t="shared" si="5"/>
        <v>1.8896217226982117</v>
      </c>
      <c r="AD27" s="7">
        <f t="shared" si="5"/>
        <v>1.2251850000000002</v>
      </c>
      <c r="AE27" s="7">
        <f>SUM(M27:AD27)</f>
        <v>17.97040795661504</v>
      </c>
      <c r="AF27" s="7"/>
    </row>
    <row r="28" spans="1:32" ht="12">
      <c r="A28" s="28" t="s">
        <v>164</v>
      </c>
      <c r="B28" s="29"/>
      <c r="E28" s="3">
        <v>2.3</v>
      </c>
      <c r="H28" s="13" t="s">
        <v>223</v>
      </c>
      <c r="I28" s="7"/>
      <c r="J28" s="7"/>
      <c r="K28" s="7"/>
      <c r="L28" s="7" t="s">
        <v>66</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row>
    <row r="29" spans="1:32" ht="12">
      <c r="A29" s="28" t="s">
        <v>175</v>
      </c>
      <c r="B29" s="29"/>
      <c r="E29" s="3">
        <v>3.8</v>
      </c>
      <c r="H29" s="13" t="s">
        <v>224</v>
      </c>
      <c r="I29" s="7"/>
      <c r="J29" s="7"/>
      <c r="K29" s="7"/>
      <c r="L29" s="7" t="s">
        <v>67</v>
      </c>
      <c r="M29" s="7">
        <f>M27+M28</f>
        <v>0.09041666984558105</v>
      </c>
      <c r="N29" s="7">
        <f>N27+N28</f>
        <v>0.9174083590507507</v>
      </c>
      <c r="O29" s="7">
        <f aca="true" t="shared" si="6" ref="O29:U29">O27+O28</f>
        <v>0.35625417828559874</v>
      </c>
      <c r="P29" s="7">
        <f t="shared" si="6"/>
        <v>0.35024998188018797</v>
      </c>
      <c r="Q29" s="7">
        <f t="shared" si="6"/>
        <v>0.7628041588691712</v>
      </c>
      <c r="R29" s="7">
        <f t="shared" si="6"/>
        <v>0.6548328936100006</v>
      </c>
      <c r="S29" s="7">
        <f t="shared" si="6"/>
        <v>0.4959062367675543</v>
      </c>
      <c r="T29" s="7">
        <f t="shared" si="6"/>
        <v>0.8662312418222428</v>
      </c>
      <c r="U29" s="7">
        <f t="shared" si="6"/>
        <v>0.5994624957561493</v>
      </c>
      <c r="V29" s="7">
        <f aca="true" t="shared" si="7" ref="V29:AE29">V27+V28</f>
        <v>1.0524333596229554</v>
      </c>
      <c r="W29" s="7">
        <f t="shared" si="7"/>
        <v>0.728849995136261</v>
      </c>
      <c r="X29" s="7">
        <f t="shared" si="7"/>
        <v>1.2462025344371797</v>
      </c>
      <c r="Y29" s="7">
        <f t="shared" si="7"/>
        <v>1.1597749828723907</v>
      </c>
      <c r="Z29" s="7">
        <f t="shared" si="7"/>
        <v>1.4523000240325927</v>
      </c>
      <c r="AA29" s="7">
        <f t="shared" si="7"/>
        <v>2.5883250175714494</v>
      </c>
      <c r="AB29" s="7">
        <f t="shared" si="7"/>
        <v>1.5341491043567657</v>
      </c>
      <c r="AC29" s="7">
        <f t="shared" si="7"/>
        <v>1.8896217226982117</v>
      </c>
      <c r="AD29" s="7">
        <f t="shared" si="7"/>
        <v>1.2251850000000002</v>
      </c>
      <c r="AE29" s="7">
        <f t="shared" si="7"/>
        <v>17.97040795661504</v>
      </c>
      <c r="AF29" s="7"/>
    </row>
    <row r="30" spans="5:32" ht="12">
      <c r="E30" s="3">
        <v>3.8</v>
      </c>
      <c r="H30" s="13" t="s">
        <v>225</v>
      </c>
      <c r="I30" s="7"/>
      <c r="J30" s="7"/>
      <c r="K30" s="7"/>
      <c r="L30" s="7" t="s">
        <v>68</v>
      </c>
      <c r="M30" s="7">
        <f>M25/AE25</f>
        <v>0.005399550073465149</v>
      </c>
      <c r="N30" s="7">
        <f>N25/AE25</f>
        <v>0.05478627316146527</v>
      </c>
      <c r="O30" s="7">
        <f>O25/AE25</f>
        <v>0.021274973716898998</v>
      </c>
      <c r="P30" s="7">
        <f>P25/AE25</f>
        <v>0.020916411969410357</v>
      </c>
      <c r="Q30" s="7">
        <f>Q25/AE25</f>
        <v>0.04555353851337241</v>
      </c>
      <c r="R30" s="7">
        <f>R25/AE25</f>
        <v>0.03910565391136313</v>
      </c>
      <c r="S30" s="7">
        <f>S25/AE25</f>
        <v>0.029614788531176363</v>
      </c>
      <c r="T30" s="7">
        <f>T25/AE25</f>
        <v>0.051730051255008604</v>
      </c>
      <c r="U30" s="7">
        <f>U25/AE25</f>
        <v>0.03579901547499774</v>
      </c>
      <c r="V30" s="7">
        <f>V25/AE25</f>
        <v>0.06284976690663897</v>
      </c>
      <c r="W30" s="7">
        <f>W25/AE25</f>
        <v>0.04352584596960148</v>
      </c>
      <c r="X30" s="7">
        <f>X25/AE25</f>
        <v>0.074421376034583</v>
      </c>
      <c r="Y30" s="7">
        <f>Y25/AE25</f>
        <v>0.06926005021714163</v>
      </c>
      <c r="Z30" s="7">
        <f>Z25/AE25</f>
        <v>0.08672921392538852</v>
      </c>
      <c r="AA30" s="7">
        <f>AA25/AE25</f>
        <v>0.15457094983312575</v>
      </c>
      <c r="AB30" s="7">
        <f>AB25/AE25</f>
        <v>0.09161712019789588</v>
      </c>
      <c r="AC30" s="7">
        <f>AC25/AE25</f>
        <v>0.11284542030846681</v>
      </c>
      <c r="AD30" s="7">
        <f>AD25/AE25</f>
        <v>0</v>
      </c>
      <c r="AE30" s="7">
        <f>AE25/AE25</f>
        <v>1</v>
      </c>
      <c r="AF30" s="7"/>
    </row>
    <row r="31" spans="2:32" ht="12">
      <c r="B31" s="2" t="s">
        <v>317</v>
      </c>
      <c r="C31" s="1">
        <v>90</v>
      </c>
      <c r="D31" s="1">
        <v>0.39</v>
      </c>
      <c r="E31" s="3">
        <v>0.6</v>
      </c>
      <c r="H31" s="13" t="s">
        <v>226</v>
      </c>
      <c r="I31" s="7"/>
      <c r="J31" s="7"/>
      <c r="K31" s="7"/>
      <c r="L31" s="7" t="s">
        <v>69</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1</v>
      </c>
      <c r="AE31" s="7"/>
      <c r="AF31" s="7"/>
    </row>
    <row r="32" spans="1:32" ht="12">
      <c r="A32" s="28" t="s">
        <v>176</v>
      </c>
      <c r="B32" s="29"/>
      <c r="E32" s="3">
        <v>1.8</v>
      </c>
      <c r="H32" s="13" t="s">
        <v>227</v>
      </c>
      <c r="I32" s="7"/>
      <c r="J32" s="7"/>
      <c r="K32" s="7"/>
      <c r="L32" s="7" t="s">
        <v>70</v>
      </c>
      <c r="M32" s="3">
        <f>M27/AE27</f>
        <v>0.005031419991347387</v>
      </c>
      <c r="N32" s="3">
        <f>N27/AE27</f>
        <v>0.051051059122619744</v>
      </c>
      <c r="O32" s="3">
        <f>O27/AE27</f>
        <v>0.01982449030348579</v>
      </c>
      <c r="P32" s="3">
        <f>P27/AE27</f>
        <v>0.019490374549413516</v>
      </c>
      <c r="Q32" s="3">
        <f>Q27/AE27</f>
        <v>0.04244779310023272</v>
      </c>
      <c r="R32" s="3">
        <f>R27/AE27</f>
        <v>0.036439511845859446</v>
      </c>
      <c r="S32" s="3">
        <f>S27/AE27</f>
        <v>0.027595713907263165</v>
      </c>
      <c r="T32" s="3">
        <f>T27/AE27</f>
        <v>0.048203204062675524</v>
      </c>
      <c r="U32" s="3">
        <f>U27/AE27</f>
        <v>0.03335831313364718</v>
      </c>
      <c r="V32" s="3">
        <f>V27/AE27</f>
        <v>0.05856480065248306</v>
      </c>
      <c r="W32" s="3">
        <f aca="true" t="shared" si="8" ref="W32:AD32">W27/$AE27</f>
        <v>0.04055834441242977</v>
      </c>
      <c r="X32" s="3">
        <f t="shared" si="8"/>
        <v>0.06934748156223372</v>
      </c>
      <c r="Y32" s="3">
        <f t="shared" si="8"/>
        <v>0.06453804419311855</v>
      </c>
      <c r="Z32" s="3">
        <f t="shared" si="8"/>
        <v>0.08081619669062606</v>
      </c>
      <c r="AA32" s="3">
        <f t="shared" si="8"/>
        <v>0.1440326242910177</v>
      </c>
      <c r="AB32" s="3">
        <f t="shared" si="8"/>
        <v>0.08537085569011993</v>
      </c>
      <c r="AC32" s="3">
        <f t="shared" si="8"/>
        <v>0.10515185449658242</v>
      </c>
      <c r="AD32" s="3">
        <f t="shared" si="8"/>
        <v>0.06817791799484443</v>
      </c>
      <c r="AE32" s="7"/>
      <c r="AF32" s="7"/>
    </row>
    <row r="33" spans="1:32" ht="12">
      <c r="A33" s="28" t="s">
        <v>177</v>
      </c>
      <c r="B33" s="29"/>
      <c r="E33" s="3">
        <v>1.8</v>
      </c>
      <c r="H33" s="13" t="s">
        <v>228</v>
      </c>
      <c r="I33" s="7"/>
      <c r="J33" s="7"/>
      <c r="K33" s="7"/>
      <c r="L33" s="7" t="s">
        <v>71</v>
      </c>
      <c r="M33" s="7">
        <f>M30</f>
        <v>0.005399550073465149</v>
      </c>
      <c r="N33" s="7">
        <f>M30+N30</f>
        <v>0.060185823234930415</v>
      </c>
      <c r="O33" s="7">
        <f aca="true" t="shared" si="9" ref="O33:AD33">N33+O30</f>
        <v>0.08146079695182941</v>
      </c>
      <c r="P33" s="7">
        <f t="shared" si="9"/>
        <v>0.10237720892123976</v>
      </c>
      <c r="Q33" s="7">
        <f t="shared" si="9"/>
        <v>0.14793074743461218</v>
      </c>
      <c r="R33" s="7">
        <f t="shared" si="9"/>
        <v>0.18703640134597532</v>
      </c>
      <c r="S33" s="7">
        <f t="shared" si="9"/>
        <v>0.21665118987715168</v>
      </c>
      <c r="T33" s="7">
        <f t="shared" si="9"/>
        <v>0.2683812411321603</v>
      </c>
      <c r="U33" s="7">
        <f t="shared" si="9"/>
        <v>0.30418025660715803</v>
      </c>
      <c r="V33" s="7">
        <f t="shared" si="9"/>
        <v>0.367030023513797</v>
      </c>
      <c r="W33" s="7">
        <f t="shared" si="9"/>
        <v>0.41055586948339845</v>
      </c>
      <c r="X33" s="7">
        <f t="shared" si="9"/>
        <v>0.48497724551798144</v>
      </c>
      <c r="Y33" s="7">
        <f t="shared" si="9"/>
        <v>0.554237295735123</v>
      </c>
      <c r="Z33" s="7">
        <f t="shared" si="9"/>
        <v>0.6409665096605115</v>
      </c>
      <c r="AA33" s="7">
        <f t="shared" si="9"/>
        <v>0.7955374594936373</v>
      </c>
      <c r="AB33" s="7">
        <f t="shared" si="9"/>
        <v>0.8871545796915332</v>
      </c>
      <c r="AC33" s="7">
        <f t="shared" si="9"/>
        <v>1</v>
      </c>
      <c r="AD33" s="7">
        <f t="shared" si="9"/>
        <v>1</v>
      </c>
      <c r="AE33" s="7"/>
      <c r="AF33" s="7"/>
    </row>
    <row r="34" spans="3:32" ht="12">
      <c r="C34" s="1">
        <v>90</v>
      </c>
      <c r="D34" s="1">
        <v>0.41</v>
      </c>
      <c r="E34" s="3">
        <v>0.4</v>
      </c>
      <c r="H34" s="13" t="s">
        <v>230</v>
      </c>
      <c r="I34" s="7"/>
      <c r="J34" s="7"/>
      <c r="K34" s="7"/>
      <c r="L34" s="7" t="s">
        <v>72</v>
      </c>
      <c r="M34" s="7">
        <f aca="true" t="shared" si="10" ref="M34:AC34">M33+M31</f>
        <v>0.005399550073465149</v>
      </c>
      <c r="N34" s="13">
        <f t="shared" si="10"/>
        <v>0.060185823234930415</v>
      </c>
      <c r="O34" s="13">
        <f t="shared" si="10"/>
        <v>0.08146079695182941</v>
      </c>
      <c r="P34" s="13">
        <f t="shared" si="10"/>
        <v>0.10237720892123976</v>
      </c>
      <c r="Q34" s="13">
        <f t="shared" si="10"/>
        <v>0.14793074743461218</v>
      </c>
      <c r="R34" s="13">
        <f t="shared" si="10"/>
        <v>0.18703640134597532</v>
      </c>
      <c r="S34" s="13">
        <f t="shared" si="10"/>
        <v>0.21665118987715168</v>
      </c>
      <c r="T34" s="13">
        <f t="shared" si="10"/>
        <v>0.2683812411321603</v>
      </c>
      <c r="U34" s="13">
        <f t="shared" si="10"/>
        <v>0.30418025660715803</v>
      </c>
      <c r="V34" s="13">
        <f t="shared" si="10"/>
        <v>0.367030023513797</v>
      </c>
      <c r="W34" s="13">
        <f t="shared" si="10"/>
        <v>0.41055586948339845</v>
      </c>
      <c r="X34" s="13">
        <f t="shared" si="10"/>
        <v>0.48497724551798144</v>
      </c>
      <c r="Y34" s="13">
        <f t="shared" si="10"/>
        <v>0.554237295735123</v>
      </c>
      <c r="Z34" s="13">
        <f t="shared" si="10"/>
        <v>0.6409665096605115</v>
      </c>
      <c r="AA34" s="13">
        <f t="shared" si="10"/>
        <v>0.7955374594936373</v>
      </c>
      <c r="AB34" s="13">
        <f t="shared" si="10"/>
        <v>0.8871545796915332</v>
      </c>
      <c r="AC34" s="13">
        <f t="shared" si="10"/>
        <v>1</v>
      </c>
      <c r="AD34" s="13"/>
      <c r="AE34" s="13"/>
      <c r="AF34" s="13"/>
    </row>
    <row r="35" spans="2:32" ht="12">
      <c r="B35" s="2" t="s">
        <v>299</v>
      </c>
      <c r="E35" s="3">
        <v>4.3</v>
      </c>
      <c r="H35" s="7" t="s">
        <v>229</v>
      </c>
      <c r="I35" s="7"/>
      <c r="J35" s="7"/>
      <c r="K35" s="7"/>
      <c r="L35" s="7" t="s">
        <v>73</v>
      </c>
      <c r="M35" s="7">
        <f>M32</f>
        <v>0.005031419991347387</v>
      </c>
      <c r="N35" s="7">
        <f aca="true" t="shared" si="11" ref="N35:AD35">M35+N32</f>
        <v>0.05608247911396713</v>
      </c>
      <c r="O35" s="7">
        <f t="shared" si="11"/>
        <v>0.07590696941745292</v>
      </c>
      <c r="P35" s="7">
        <f t="shared" si="11"/>
        <v>0.09539734396686644</v>
      </c>
      <c r="Q35" s="7">
        <f t="shared" si="11"/>
        <v>0.13784513706709917</v>
      </c>
      <c r="R35" s="7">
        <f t="shared" si="11"/>
        <v>0.1742846489129586</v>
      </c>
      <c r="S35" s="7">
        <f t="shared" si="11"/>
        <v>0.2018803628202218</v>
      </c>
      <c r="T35" s="7">
        <f t="shared" si="11"/>
        <v>0.2500835668828973</v>
      </c>
      <c r="U35" s="7">
        <f t="shared" si="11"/>
        <v>0.28344188001654447</v>
      </c>
      <c r="V35" s="7">
        <f t="shared" si="11"/>
        <v>0.3420066806690275</v>
      </c>
      <c r="W35" s="7">
        <f t="shared" si="11"/>
        <v>0.3825650250814573</v>
      </c>
      <c r="X35" s="7">
        <f t="shared" si="11"/>
        <v>0.451912506643691</v>
      </c>
      <c r="Y35" s="7">
        <f t="shared" si="11"/>
        <v>0.5164505508368096</v>
      </c>
      <c r="Z35" s="7">
        <f t="shared" si="11"/>
        <v>0.5972667475274356</v>
      </c>
      <c r="AA35" s="7">
        <f t="shared" si="11"/>
        <v>0.7412993718184533</v>
      </c>
      <c r="AB35" s="7">
        <f t="shared" si="11"/>
        <v>0.8266702275085732</v>
      </c>
      <c r="AC35" s="7">
        <f t="shared" si="11"/>
        <v>0.9318220820051556</v>
      </c>
      <c r="AD35" s="7">
        <f t="shared" si="11"/>
        <v>1</v>
      </c>
      <c r="AE35" s="7"/>
      <c r="AF35" s="7"/>
    </row>
    <row r="36" spans="1:25" ht="12">
      <c r="A36" s="28" t="s">
        <v>162</v>
      </c>
      <c r="B36" s="29"/>
      <c r="E36" s="3">
        <v>4.3</v>
      </c>
      <c r="H36" s="7"/>
      <c r="I36" s="7"/>
      <c r="J36" s="7"/>
      <c r="K36" s="7"/>
      <c r="L36" s="7"/>
      <c r="M36" s="7"/>
      <c r="N36" s="7"/>
      <c r="O36" s="7"/>
      <c r="P36" s="7"/>
      <c r="Q36" s="7"/>
      <c r="R36" s="7"/>
      <c r="S36" s="7"/>
      <c r="T36" s="7"/>
      <c r="U36" s="7"/>
      <c r="V36" s="7"/>
      <c r="W36" s="7"/>
      <c r="X36" s="7"/>
      <c r="Y36" s="7"/>
    </row>
    <row r="37" spans="1:8" ht="12">
      <c r="A37" s="28" t="s">
        <v>163</v>
      </c>
      <c r="B37" s="29"/>
      <c r="E37" s="3">
        <v>4.3</v>
      </c>
      <c r="H37" s="4" t="s">
        <v>231</v>
      </c>
    </row>
    <row r="39" spans="2:9" ht="12">
      <c r="B39" s="2" t="s">
        <v>207</v>
      </c>
      <c r="C39" s="1">
        <v>90</v>
      </c>
      <c r="D39" s="1">
        <v>0.4</v>
      </c>
      <c r="E39" s="3">
        <v>2.2</v>
      </c>
      <c r="I39" s="17"/>
    </row>
    <row r="40" spans="1:5" ht="12">
      <c r="A40" s="28" t="s">
        <v>176</v>
      </c>
      <c r="B40" s="29"/>
      <c r="E40" s="3">
        <v>4.1</v>
      </c>
    </row>
    <row r="41" spans="1:5" ht="12">
      <c r="A41" s="28" t="s">
        <v>178</v>
      </c>
      <c r="B41" s="29"/>
      <c r="E41" s="3">
        <v>9.7</v>
      </c>
    </row>
    <row r="43" spans="3:5" ht="11.25">
      <c r="C43" s="1">
        <v>90</v>
      </c>
      <c r="D43" s="1">
        <v>0.39</v>
      </c>
      <c r="E43" s="3">
        <v>1.1</v>
      </c>
    </row>
    <row r="44" spans="1:5" ht="12">
      <c r="A44" s="18" t="s">
        <v>247</v>
      </c>
      <c r="B44" s="2" t="s">
        <v>318</v>
      </c>
      <c r="E44" s="3">
        <v>5</v>
      </c>
    </row>
    <row r="45" spans="1:35" ht="12">
      <c r="A45" s="28" t="s">
        <v>179</v>
      </c>
      <c r="B45" s="29"/>
      <c r="E45" s="3">
        <v>5</v>
      </c>
      <c r="AD45" s="7"/>
      <c r="AE45" s="7"/>
      <c r="AF45" s="7"/>
      <c r="AG45" s="7"/>
      <c r="AH45" s="7"/>
      <c r="AI45" s="7"/>
    </row>
    <row r="46" spans="1:5" ht="12">
      <c r="A46" s="28" t="s">
        <v>180</v>
      </c>
      <c r="B46" s="29"/>
      <c r="C46" s="1">
        <v>90</v>
      </c>
      <c r="D46" s="1">
        <v>0.38</v>
      </c>
      <c r="E46" s="3">
        <v>1.2</v>
      </c>
    </row>
    <row r="47" ht="11.25">
      <c r="E47" s="3">
        <v>4</v>
      </c>
    </row>
    <row r="48" spans="2:5" ht="12">
      <c r="B48" s="2" t="s">
        <v>299</v>
      </c>
      <c r="E48" s="3">
        <v>6.2</v>
      </c>
    </row>
    <row r="49" spans="1:2" ht="12">
      <c r="A49" s="28" t="s">
        <v>179</v>
      </c>
      <c r="B49" s="29"/>
    </row>
    <row r="50" spans="1:5" ht="12">
      <c r="A50" s="28" t="s">
        <v>180</v>
      </c>
      <c r="B50" s="29"/>
      <c r="C50" s="1">
        <v>89</v>
      </c>
      <c r="D50" s="1">
        <v>0.39</v>
      </c>
      <c r="E50" s="3">
        <v>1.2</v>
      </c>
    </row>
    <row r="51" ht="11.25">
      <c r="E51" s="3">
        <v>2.5</v>
      </c>
    </row>
    <row r="52" spans="2:5" ht="12">
      <c r="B52" s="2" t="s">
        <v>208</v>
      </c>
      <c r="E52" s="3">
        <v>7.1</v>
      </c>
    </row>
    <row r="53" spans="1:5" ht="12">
      <c r="A53" s="28" t="s">
        <v>181</v>
      </c>
      <c r="B53" s="29"/>
      <c r="C53" s="1">
        <v>90</v>
      </c>
      <c r="D53" s="1">
        <v>0.4</v>
      </c>
      <c r="E53" s="3">
        <v>2.1</v>
      </c>
    </row>
    <row r="54" spans="1:5" ht="12">
      <c r="A54" s="28" t="s">
        <v>182</v>
      </c>
      <c r="B54" s="29"/>
      <c r="E54" s="3">
        <v>5.4</v>
      </c>
    </row>
    <row r="56" spans="2:5" ht="12">
      <c r="B56" s="2" t="s">
        <v>335</v>
      </c>
      <c r="C56" s="1">
        <v>90</v>
      </c>
      <c r="D56" s="1">
        <v>0.38</v>
      </c>
      <c r="E56" s="3">
        <v>1.9</v>
      </c>
    </row>
    <row r="57" spans="1:25" ht="12">
      <c r="A57" s="28" t="s">
        <v>183</v>
      </c>
      <c r="B57" s="29"/>
      <c r="E57" s="3">
        <v>4.4</v>
      </c>
      <c r="H57" s="7"/>
      <c r="I57" s="7"/>
      <c r="J57" s="7"/>
      <c r="K57" s="7"/>
      <c r="L57" s="7"/>
      <c r="M57" s="7"/>
      <c r="N57" s="7"/>
      <c r="O57" s="7"/>
      <c r="P57" s="7"/>
      <c r="Q57" s="7"/>
      <c r="R57" s="7"/>
      <c r="S57" s="7"/>
      <c r="T57" s="7"/>
      <c r="U57" s="7"/>
      <c r="V57" s="7"/>
      <c r="W57" s="7"/>
      <c r="X57" s="7"/>
      <c r="Y57" s="7"/>
    </row>
    <row r="58" spans="1:5" ht="12">
      <c r="A58" s="28" t="s">
        <v>184</v>
      </c>
      <c r="B58" s="29"/>
      <c r="E58" s="3">
        <v>8.7</v>
      </c>
    </row>
    <row r="59" spans="3:5" ht="11.25">
      <c r="C59" s="1">
        <v>90</v>
      </c>
      <c r="D59" s="1">
        <v>0.39</v>
      </c>
      <c r="E59" s="3">
        <v>1.5</v>
      </c>
    </row>
    <row r="60" spans="2:5" ht="12">
      <c r="B60" s="2" t="s">
        <v>336</v>
      </c>
      <c r="E60" s="3">
        <v>4.7</v>
      </c>
    </row>
    <row r="61" spans="1:5" ht="12">
      <c r="A61" s="28" t="s">
        <v>183</v>
      </c>
      <c r="B61" s="29"/>
      <c r="E61" s="3">
        <v>4.7</v>
      </c>
    </row>
    <row r="62" spans="1:5" ht="12">
      <c r="A62" s="28" t="s">
        <v>182</v>
      </c>
      <c r="B62" s="29"/>
      <c r="C62" s="1">
        <v>90</v>
      </c>
      <c r="D62" s="1">
        <v>0.38</v>
      </c>
      <c r="E62" s="3">
        <v>0.2</v>
      </c>
    </row>
    <row r="63" ht="11.25">
      <c r="E63" s="3">
        <v>2.1</v>
      </c>
    </row>
    <row r="64" spans="2:5" ht="12">
      <c r="B64" s="2" t="s">
        <v>300</v>
      </c>
      <c r="E64" s="3">
        <v>2.1</v>
      </c>
    </row>
    <row r="65" spans="1:5" ht="12">
      <c r="A65" s="28" t="s">
        <v>166</v>
      </c>
      <c r="B65" s="29"/>
      <c r="C65" s="1">
        <v>90</v>
      </c>
      <c r="D65" s="1">
        <v>0.39</v>
      </c>
      <c r="E65" s="3">
        <v>0.9</v>
      </c>
    </row>
    <row r="66" spans="1:5" ht="12">
      <c r="A66" s="28" t="s">
        <v>185</v>
      </c>
      <c r="B66" s="29"/>
      <c r="E66" s="3">
        <v>1.3</v>
      </c>
    </row>
    <row r="67" ht="11.25">
      <c r="E67" s="3">
        <v>1.3</v>
      </c>
    </row>
    <row r="68" spans="2:5" ht="12">
      <c r="B68" s="2" t="s">
        <v>319</v>
      </c>
      <c r="C68" s="1">
        <v>89</v>
      </c>
      <c r="D68" s="1">
        <v>0.39</v>
      </c>
      <c r="E68" s="3">
        <v>1.2</v>
      </c>
    </row>
    <row r="69" spans="1:5" ht="12">
      <c r="A69" s="28" t="s">
        <v>169</v>
      </c>
      <c r="B69" s="29"/>
      <c r="E69" s="3">
        <v>3</v>
      </c>
    </row>
    <row r="70" spans="1:5" ht="12">
      <c r="A70" s="28" t="s">
        <v>186</v>
      </c>
      <c r="B70" s="29"/>
      <c r="E70" s="3">
        <v>5</v>
      </c>
    </row>
    <row r="71" ht="11.25">
      <c r="E71" s="3">
        <v>5</v>
      </c>
    </row>
    <row r="72" ht="12">
      <c r="B72" s="2" t="s">
        <v>320</v>
      </c>
    </row>
    <row r="73" spans="1:2" ht="12">
      <c r="A73" s="28" t="s">
        <v>162</v>
      </c>
      <c r="B73" s="29"/>
    </row>
    <row r="74" spans="1:2" ht="12">
      <c r="A74" s="28" t="s">
        <v>187</v>
      </c>
      <c r="B74" s="29"/>
    </row>
    <row r="76" ht="12">
      <c r="B76" s="2" t="s">
        <v>331</v>
      </c>
    </row>
    <row r="77" spans="1:2" ht="12">
      <c r="A77" s="28" t="s">
        <v>173</v>
      </c>
      <c r="B77" s="29"/>
    </row>
    <row r="78" spans="1:2" ht="12">
      <c r="A78" s="28" t="s">
        <v>188</v>
      </c>
      <c r="B78" s="29"/>
    </row>
    <row r="80" ht="12">
      <c r="B80" s="2" t="s">
        <v>209</v>
      </c>
    </row>
    <row r="81" spans="1:2" ht="12">
      <c r="A81" s="28" t="s">
        <v>189</v>
      </c>
      <c r="B81" s="29"/>
    </row>
    <row r="82" spans="1:2" ht="12">
      <c r="A82" s="28" t="s">
        <v>190</v>
      </c>
      <c r="B82" s="29"/>
    </row>
    <row r="86" ht="12">
      <c r="A86" s="18"/>
    </row>
    <row r="128" ht="12">
      <c r="A128" s="18"/>
    </row>
    <row r="138" ht="12">
      <c r="A138" s="18"/>
    </row>
    <row r="179" ht="12">
      <c r="A179" s="18"/>
    </row>
  </sheetData>
  <mergeCells count="40">
    <mergeCell ref="A82:B82"/>
    <mergeCell ref="A73:B73"/>
    <mergeCell ref="A74:B74"/>
    <mergeCell ref="A77:B77"/>
    <mergeCell ref="A78:B78"/>
    <mergeCell ref="A62:B62"/>
    <mergeCell ref="A58:B58"/>
    <mergeCell ref="A61:B61"/>
    <mergeCell ref="A81:B81"/>
    <mergeCell ref="A69:B69"/>
    <mergeCell ref="A70:B70"/>
    <mergeCell ref="A66:B66"/>
    <mergeCell ref="A65:B65"/>
    <mergeCell ref="A37:B37"/>
    <mergeCell ref="A28:B28"/>
    <mergeCell ref="A29:B29"/>
    <mergeCell ref="A17:B17"/>
    <mergeCell ref="A21:B21"/>
    <mergeCell ref="A4:B4"/>
    <mergeCell ref="A5:B5"/>
    <mergeCell ref="A9:B9"/>
    <mergeCell ref="A13:B13"/>
    <mergeCell ref="A12:B12"/>
    <mergeCell ref="A40:B40"/>
    <mergeCell ref="A41:B41"/>
    <mergeCell ref="A8:B8"/>
    <mergeCell ref="A32:B32"/>
    <mergeCell ref="A33:B33"/>
    <mergeCell ref="A36:B36"/>
    <mergeCell ref="A24:B24"/>
    <mergeCell ref="A25:B25"/>
    <mergeCell ref="A16:B16"/>
    <mergeCell ref="A20:B20"/>
    <mergeCell ref="A45:B45"/>
    <mergeCell ref="A46:B46"/>
    <mergeCell ref="A54:B54"/>
    <mergeCell ref="A57:B57"/>
    <mergeCell ref="A49:B49"/>
    <mergeCell ref="A50:B50"/>
    <mergeCell ref="A53:B5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M194"/>
  <sheetViews>
    <sheetView tabSelected="1" workbookViewId="0" topLeftCell="A1">
      <pane xSplit="5" ySplit="1" topLeftCell="F142" activePane="bottomRight" state="frozen"/>
      <selection pane="topLeft" activeCell="A1" sqref="A1"/>
      <selection pane="topRight" activeCell="D1" sqref="D1"/>
      <selection pane="bottomLeft" activeCell="A2" sqref="A2"/>
      <selection pane="bottomRight" activeCell="D143" sqref="D143"/>
    </sheetView>
  </sheetViews>
  <sheetFormatPr defaultColWidth="9.00390625" defaultRowHeight="14.25"/>
  <cols>
    <col min="1" max="1" width="7.50390625" style="1" customWidth="1"/>
    <col min="2" max="2" width="5.375" style="1" customWidth="1"/>
    <col min="3" max="3" width="5.50390625" style="1" customWidth="1"/>
    <col min="4" max="4" width="5.125" style="1" customWidth="1"/>
    <col min="5" max="5" width="7.875" style="1" customWidth="1"/>
    <col min="6" max="6" width="6.25390625" style="0" customWidth="1"/>
    <col min="7" max="7" width="4.875" style="1" customWidth="1"/>
    <col min="8" max="8" width="5.375" style="1" customWidth="1"/>
    <col min="9" max="9" width="8.375" style="1" customWidth="1"/>
    <col min="10" max="11" width="4.875" style="1" customWidth="1"/>
    <col min="12" max="16384" width="6.50390625" style="1" customWidth="1"/>
  </cols>
  <sheetData>
    <row r="1" spans="1:5" s="3" customFormat="1" ht="24">
      <c r="A1" s="18" t="s">
        <v>195</v>
      </c>
      <c r="B1" s="22" t="s">
        <v>196</v>
      </c>
      <c r="C1" s="19" t="s">
        <v>197</v>
      </c>
      <c r="D1" s="19" t="s">
        <v>337</v>
      </c>
      <c r="E1" s="2" t="s">
        <v>198</v>
      </c>
    </row>
    <row r="2" spans="3:5" ht="14.25">
      <c r="C2" s="1">
        <v>88</v>
      </c>
      <c r="D2" s="1">
        <v>0.35</v>
      </c>
      <c r="E2" s="1">
        <v>2</v>
      </c>
    </row>
    <row r="3" spans="1:5" ht="15">
      <c r="A3" s="2" t="s">
        <v>251</v>
      </c>
      <c r="B3" s="2" t="s">
        <v>245</v>
      </c>
      <c r="E3" s="1">
        <v>2.4</v>
      </c>
    </row>
    <row r="4" spans="5:32" ht="15">
      <c r="E4" s="1">
        <v>11.5</v>
      </c>
      <c r="H4" s="7"/>
      <c r="I4" s="13" t="s">
        <v>232</v>
      </c>
      <c r="J4" s="7"/>
      <c r="K4" s="7"/>
      <c r="L4" s="7"/>
      <c r="M4" s="7"/>
      <c r="N4" s="7"/>
      <c r="O4" s="7"/>
      <c r="P4" s="7"/>
      <c r="Q4" s="7"/>
      <c r="R4" s="7"/>
      <c r="S4" s="7"/>
      <c r="T4" s="7"/>
      <c r="U4" s="7"/>
      <c r="V4" s="7"/>
      <c r="W4" s="7"/>
      <c r="X4" s="7"/>
      <c r="Y4" s="7"/>
      <c r="Z4" s="7"/>
      <c r="AA4" s="7"/>
      <c r="AB4" s="7"/>
      <c r="AC4" s="7"/>
      <c r="AD4" s="7"/>
      <c r="AE4" s="7"/>
      <c r="AF4" s="7"/>
    </row>
    <row r="5" spans="5:32" ht="14.25">
      <c r="E5" s="1">
        <v>11.5</v>
      </c>
      <c r="H5" s="7"/>
      <c r="I5" s="7"/>
      <c r="J5" s="7"/>
      <c r="K5" s="7"/>
      <c r="L5" s="7"/>
      <c r="M5" s="7"/>
      <c r="N5" s="7"/>
      <c r="O5" s="7"/>
      <c r="P5" s="7"/>
      <c r="Q5" s="7"/>
      <c r="R5" s="7"/>
      <c r="S5" s="7"/>
      <c r="T5" s="7"/>
      <c r="U5" s="7"/>
      <c r="V5" s="7"/>
      <c r="W5" s="7"/>
      <c r="X5" s="7"/>
      <c r="Y5" s="7"/>
      <c r="Z5" s="7"/>
      <c r="AA5" s="7"/>
      <c r="AB5" s="7"/>
      <c r="AC5" s="7"/>
      <c r="AD5" s="7"/>
      <c r="AE5" s="7"/>
      <c r="AF5" s="7"/>
    </row>
    <row r="6" spans="3:32" ht="15">
      <c r="C6" s="1">
        <v>89</v>
      </c>
      <c r="D6" s="1">
        <v>0.33</v>
      </c>
      <c r="E6" s="1">
        <v>1.7</v>
      </c>
      <c r="H6" s="7"/>
      <c r="I6" s="7" t="s">
        <v>74</v>
      </c>
      <c r="J6" s="13" t="s">
        <v>243</v>
      </c>
      <c r="K6" s="7"/>
      <c r="L6" s="7"/>
      <c r="M6" s="7"/>
      <c r="N6" s="7"/>
      <c r="O6" s="7"/>
      <c r="P6" s="7"/>
      <c r="Q6" s="7"/>
      <c r="R6" s="7"/>
      <c r="S6" s="7"/>
      <c r="T6" s="7"/>
      <c r="U6" s="7"/>
      <c r="V6" s="7"/>
      <c r="W6" s="7"/>
      <c r="X6" s="7"/>
      <c r="Y6" s="7"/>
      <c r="Z6" s="7"/>
      <c r="AA6" s="7"/>
      <c r="AB6" s="7"/>
      <c r="AC6" s="7"/>
      <c r="AD6" s="7"/>
      <c r="AE6" s="7"/>
      <c r="AF6" s="7"/>
    </row>
    <row r="7" spans="2:32" ht="15">
      <c r="B7" s="2" t="s">
        <v>248</v>
      </c>
      <c r="E7" s="1">
        <v>2.3</v>
      </c>
      <c r="H7" s="7"/>
      <c r="I7" s="7"/>
      <c r="J7" s="7"/>
      <c r="K7" s="7"/>
      <c r="L7" s="7"/>
      <c r="M7" s="7"/>
      <c r="N7" s="7"/>
      <c r="O7" s="7"/>
      <c r="P7" s="7"/>
      <c r="Q7" s="7"/>
      <c r="R7" s="7"/>
      <c r="S7" s="7"/>
      <c r="T7" s="7"/>
      <c r="U7" s="7"/>
      <c r="V7" s="7"/>
      <c r="W7" s="7"/>
      <c r="X7" s="7"/>
      <c r="Y7" s="7"/>
      <c r="Z7" s="7"/>
      <c r="AA7" s="7"/>
      <c r="AB7" s="7"/>
      <c r="AC7" s="7"/>
      <c r="AD7" s="7"/>
      <c r="AE7" s="7"/>
      <c r="AF7" s="7"/>
    </row>
    <row r="8" spans="5:32" ht="14.25">
      <c r="E8" s="1">
        <v>10</v>
      </c>
      <c r="H8" s="7"/>
      <c r="I8" s="7" t="s">
        <v>42</v>
      </c>
      <c r="J8" s="7" t="s">
        <v>43</v>
      </c>
      <c r="K8" s="7" t="s">
        <v>44</v>
      </c>
      <c r="L8" s="7" t="s">
        <v>45</v>
      </c>
      <c r="M8" s="7"/>
      <c r="N8" s="7"/>
      <c r="O8" s="7"/>
      <c r="P8" s="7"/>
      <c r="Q8" s="7"/>
      <c r="R8" s="7"/>
      <c r="S8" s="7"/>
      <c r="T8" s="7"/>
      <c r="U8" s="7"/>
      <c r="V8" s="7"/>
      <c r="W8" s="7"/>
      <c r="X8" s="7"/>
      <c r="Y8" s="7"/>
      <c r="Z8" s="7"/>
      <c r="AA8" s="7"/>
      <c r="AB8" s="7"/>
      <c r="AC8" s="7"/>
      <c r="AD8" s="7"/>
      <c r="AE8" s="7"/>
      <c r="AF8" s="7"/>
    </row>
    <row r="9" spans="5:32" ht="15">
      <c r="E9" s="1">
        <v>10</v>
      </c>
      <c r="H9" s="7"/>
      <c r="I9" s="7"/>
      <c r="J9" s="7"/>
      <c r="K9" s="7"/>
      <c r="L9" s="13" t="s">
        <v>203</v>
      </c>
      <c r="M9" s="7"/>
      <c r="N9" s="7"/>
      <c r="O9" s="7"/>
      <c r="P9" s="7"/>
      <c r="Q9" s="7"/>
      <c r="R9" s="7"/>
      <c r="S9" s="7"/>
      <c r="T9" s="7"/>
      <c r="U9" s="7"/>
      <c r="V9" s="7"/>
      <c r="W9" s="7"/>
      <c r="X9" s="7"/>
      <c r="Y9" s="7"/>
      <c r="Z9" s="7"/>
      <c r="AA9" s="7"/>
      <c r="AB9" s="7"/>
      <c r="AC9" s="7"/>
      <c r="AD9" s="7"/>
      <c r="AE9" s="7"/>
      <c r="AF9" s="7"/>
    </row>
    <row r="10" spans="3:32" ht="14.25">
      <c r="C10" s="1">
        <v>87</v>
      </c>
      <c r="D10" s="1">
        <v>0.32</v>
      </c>
      <c r="E10" s="1">
        <v>2.5</v>
      </c>
      <c r="H10" s="7"/>
      <c r="I10" s="10">
        <v>36996</v>
      </c>
      <c r="J10" s="7">
        <v>46</v>
      </c>
      <c r="K10" s="7">
        <v>173</v>
      </c>
      <c r="L10" s="7">
        <v>29</v>
      </c>
      <c r="M10" s="7"/>
      <c r="N10" s="7"/>
      <c r="O10" s="7"/>
      <c r="P10" s="7"/>
      <c r="Q10" s="7"/>
      <c r="R10" s="7"/>
      <c r="S10" s="7"/>
      <c r="T10" s="7"/>
      <c r="U10" s="7"/>
      <c r="V10" s="7"/>
      <c r="W10" s="7"/>
      <c r="X10" s="7"/>
      <c r="Y10" s="7"/>
      <c r="Z10" s="7"/>
      <c r="AA10" s="7"/>
      <c r="AB10" s="7"/>
      <c r="AC10" s="7"/>
      <c r="AD10" s="7"/>
      <c r="AE10" s="7"/>
      <c r="AF10" s="7"/>
    </row>
    <row r="11" spans="2:169" ht="15">
      <c r="B11" s="2" t="s">
        <v>238</v>
      </c>
      <c r="E11" s="1">
        <v>6.4</v>
      </c>
      <c r="H11" s="6"/>
      <c r="I11" s="6"/>
      <c r="J11" s="6"/>
      <c r="K11" s="6"/>
      <c r="L11" s="6"/>
      <c r="M11" s="6" t="s">
        <v>75</v>
      </c>
      <c r="N11" s="6" t="s">
        <v>76</v>
      </c>
      <c r="O11" s="6" t="s">
        <v>77</v>
      </c>
      <c r="P11" s="6" t="s">
        <v>78</v>
      </c>
      <c r="Q11" s="6" t="s">
        <v>79</v>
      </c>
      <c r="R11" s="6" t="s">
        <v>80</v>
      </c>
      <c r="S11" s="6" t="s">
        <v>81</v>
      </c>
      <c r="T11" s="6" t="s">
        <v>82</v>
      </c>
      <c r="U11" s="6" t="s">
        <v>83</v>
      </c>
      <c r="V11" s="6" t="s">
        <v>84</v>
      </c>
      <c r="W11" s="6" t="s">
        <v>85</v>
      </c>
      <c r="X11" s="6" t="s">
        <v>86</v>
      </c>
      <c r="Y11" s="6"/>
      <c r="Z11" s="7"/>
      <c r="AA11" s="7"/>
      <c r="AB11" s="7"/>
      <c r="AC11" s="7"/>
      <c r="AD11" s="7"/>
      <c r="AE11" s="7"/>
      <c r="AF11" s="7"/>
      <c r="AG11" s="7"/>
      <c r="AH11" s="7"/>
      <c r="AI11" s="7"/>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row>
    <row r="12" spans="5:169" ht="15">
      <c r="E12" s="1">
        <v>13.3</v>
      </c>
      <c r="H12" s="3"/>
      <c r="I12" s="3"/>
      <c r="J12" s="3"/>
      <c r="K12" s="3"/>
      <c r="L12" s="3"/>
      <c r="M12" s="4" t="s">
        <v>240</v>
      </c>
      <c r="N12" s="3"/>
      <c r="O12" s="3"/>
      <c r="P12" s="3"/>
      <c r="Q12" s="3"/>
      <c r="R12" s="3"/>
      <c r="S12" s="3"/>
      <c r="T12" s="3"/>
      <c r="U12" s="3"/>
      <c r="V12" s="3"/>
      <c r="W12" s="4" t="s">
        <v>233</v>
      </c>
      <c r="X12" s="3"/>
      <c r="Y12" s="3"/>
      <c r="Z12" s="3"/>
      <c r="AA12" s="7"/>
      <c r="AB12" s="7"/>
      <c r="AC12" s="7"/>
      <c r="AD12" s="7"/>
      <c r="AE12" s="7"/>
      <c r="AF12" s="7"/>
      <c r="AG12" s="7"/>
      <c r="AH12" s="7"/>
      <c r="AI12" s="7"/>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row>
    <row r="13" spans="5:169" ht="15">
      <c r="E13" s="1">
        <v>13.3</v>
      </c>
      <c r="H13" s="23" t="s">
        <v>210</v>
      </c>
      <c r="I13" s="3"/>
      <c r="J13" s="3"/>
      <c r="K13" s="3"/>
      <c r="L13" s="3" t="s">
        <v>96</v>
      </c>
      <c r="M13" s="3">
        <v>7.7359666358076735</v>
      </c>
      <c r="N13" s="3">
        <v>5.9749203352378215</v>
      </c>
      <c r="O13" s="3">
        <v>4.959085084986369</v>
      </c>
      <c r="P13" s="3">
        <v>1.9905685894526164</v>
      </c>
      <c r="Q13" s="3">
        <v>0.38918024300802606</v>
      </c>
      <c r="R13" s="3">
        <v>0</v>
      </c>
      <c r="S13" s="3">
        <v>0</v>
      </c>
      <c r="T13" s="3">
        <v>0</v>
      </c>
      <c r="U13" s="3">
        <v>0</v>
      </c>
      <c r="V13" s="3">
        <v>0</v>
      </c>
      <c r="W13" s="3">
        <f>SUM(M13:V13)</f>
        <v>21.04972088849251</v>
      </c>
      <c r="X13" s="3"/>
      <c r="Y13" s="3"/>
      <c r="Z13" s="7"/>
      <c r="AA13" s="7"/>
      <c r="AB13" s="7"/>
      <c r="AC13" s="7"/>
      <c r="AD13" s="7"/>
      <c r="AE13" s="7"/>
      <c r="AF13" s="7"/>
      <c r="AG13" s="7"/>
      <c r="AH13" s="7"/>
      <c r="AI13" s="7"/>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row>
    <row r="14" spans="3:169" ht="15">
      <c r="C14" s="1">
        <v>88</v>
      </c>
      <c r="D14" s="1">
        <v>0.32</v>
      </c>
      <c r="E14" s="1">
        <v>1.8</v>
      </c>
      <c r="H14" s="23" t="s">
        <v>211</v>
      </c>
      <c r="I14" s="3"/>
      <c r="J14" s="3"/>
      <c r="K14" s="3"/>
      <c r="L14" s="3" t="s">
        <v>88</v>
      </c>
      <c r="M14" s="3">
        <f>M13/$W$13</f>
        <v>0.36750922621671356</v>
      </c>
      <c r="N14" s="3">
        <f aca="true" t="shared" si="0" ref="N14:V14">N13/$W$13</f>
        <v>0.28384796011733343</v>
      </c>
      <c r="O14" s="3">
        <f t="shared" si="0"/>
        <v>0.23558911356859885</v>
      </c>
      <c r="P14" s="3">
        <f t="shared" si="0"/>
        <v>0.09456508235892207</v>
      </c>
      <c r="Q14" s="3">
        <f t="shared" si="0"/>
        <v>0.01848861773843204</v>
      </c>
      <c r="R14" s="3">
        <f t="shared" si="0"/>
        <v>0</v>
      </c>
      <c r="S14" s="3">
        <f t="shared" si="0"/>
        <v>0</v>
      </c>
      <c r="T14" s="3">
        <f t="shared" si="0"/>
        <v>0</v>
      </c>
      <c r="U14" s="3">
        <v>0</v>
      </c>
      <c r="V14" s="3">
        <f t="shared" si="0"/>
        <v>0</v>
      </c>
      <c r="W14" s="3">
        <f aca="true" t="shared" si="1" ref="W14:W19">SUM(M14:V14)</f>
        <v>0.9999999999999999</v>
      </c>
      <c r="X14" s="3"/>
      <c r="Y14" s="3"/>
      <c r="Z14" s="7"/>
      <c r="AA14" s="7"/>
      <c r="AB14" s="7"/>
      <c r="AC14" s="7"/>
      <c r="AD14" s="7"/>
      <c r="AE14" s="7"/>
      <c r="AF14" s="7"/>
      <c r="AG14" s="7"/>
      <c r="AH14" s="7"/>
      <c r="AI14" s="7"/>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row>
    <row r="15" spans="2:169" ht="15">
      <c r="B15" s="2" t="s">
        <v>239</v>
      </c>
      <c r="E15" s="1">
        <v>5.1</v>
      </c>
      <c r="H15" s="23" t="s">
        <v>212</v>
      </c>
      <c r="I15" s="3"/>
      <c r="J15" s="3"/>
      <c r="K15" s="3"/>
      <c r="L15" s="3" t="s">
        <v>94</v>
      </c>
      <c r="M15" s="3">
        <v>50.25782090466976</v>
      </c>
      <c r="N15" s="3">
        <v>64.10164201000214</v>
      </c>
      <c r="O15" s="3">
        <v>56.43287698296077</v>
      </c>
      <c r="P15" s="3">
        <v>62.012210502007804</v>
      </c>
      <c r="Q15" s="3">
        <v>24.52169250523885</v>
      </c>
      <c r="R15" s="3">
        <v>0</v>
      </c>
      <c r="S15" s="3">
        <v>0</v>
      </c>
      <c r="T15" s="3">
        <v>0</v>
      </c>
      <c r="U15" s="3">
        <v>0</v>
      </c>
      <c r="V15" s="3">
        <v>0</v>
      </c>
      <c r="W15" s="3">
        <f t="shared" si="1"/>
        <v>257.32624290487934</v>
      </c>
      <c r="X15" s="3"/>
      <c r="Y15" s="3"/>
      <c r="Z15" s="7"/>
      <c r="AA15" s="7"/>
      <c r="AB15" s="7"/>
      <c r="AC15" s="7"/>
      <c r="AD15" s="7"/>
      <c r="AE15" s="7"/>
      <c r="AF15" s="7"/>
      <c r="AG15" s="7"/>
      <c r="AH15" s="7"/>
      <c r="AI15" s="7"/>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row>
    <row r="16" spans="5:169" ht="15">
      <c r="E16" s="1">
        <v>11.4</v>
      </c>
      <c r="H16" s="23" t="s">
        <v>213</v>
      </c>
      <c r="I16" s="3"/>
      <c r="J16" s="3"/>
      <c r="K16" s="3"/>
      <c r="L16" s="3" t="s">
        <v>95</v>
      </c>
      <c r="M16" s="3">
        <v>52.375254478530884</v>
      </c>
      <c r="N16" s="3">
        <v>62.264112288233434</v>
      </c>
      <c r="O16" s="3">
        <v>57.452628804766334</v>
      </c>
      <c r="P16" s="3">
        <v>55.36840275128682</v>
      </c>
      <c r="Q16" s="3">
        <v>21.640625</v>
      </c>
      <c r="R16" s="3">
        <v>0</v>
      </c>
      <c r="S16" s="3">
        <v>0</v>
      </c>
      <c r="T16" s="3">
        <v>0</v>
      </c>
      <c r="U16" s="3">
        <v>0</v>
      </c>
      <c r="V16" s="3">
        <v>0</v>
      </c>
      <c r="W16" s="3">
        <f t="shared" si="1"/>
        <v>249.10102332281747</v>
      </c>
      <c r="X16" s="3"/>
      <c r="Y16" s="3"/>
      <c r="Z16" s="7"/>
      <c r="AA16" s="7"/>
      <c r="AB16" s="7"/>
      <c r="AC16" s="7"/>
      <c r="AD16" s="7"/>
      <c r="AE16" s="7"/>
      <c r="AF16" s="7"/>
      <c r="AG16" s="7"/>
      <c r="AH16" s="7"/>
      <c r="AI16" s="7"/>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row>
    <row r="17" spans="5:169" ht="15">
      <c r="E17" s="1">
        <v>11.4</v>
      </c>
      <c r="H17" s="23" t="s">
        <v>214</v>
      </c>
      <c r="I17" s="3"/>
      <c r="J17" s="3"/>
      <c r="K17" s="3"/>
      <c r="L17" s="3" t="s">
        <v>89</v>
      </c>
      <c r="M17" s="3">
        <f>3.1415926*0.33*10</f>
        <v>10.367255580000002</v>
      </c>
      <c r="N17" s="3">
        <f>3.1415926*0.33*5</f>
        <v>5.183627790000001</v>
      </c>
      <c r="O17" s="3">
        <f>3.1415926*0.33*5</f>
        <v>5.183627790000001</v>
      </c>
      <c r="P17" s="3">
        <f>3.1415926*0.33*5</f>
        <v>5.183627790000001</v>
      </c>
      <c r="Q17" s="3">
        <f>3.1415926*0.33*1</f>
        <v>1.036725558</v>
      </c>
      <c r="R17" s="3">
        <v>0</v>
      </c>
      <c r="S17" s="3">
        <v>0</v>
      </c>
      <c r="T17" s="3">
        <v>0</v>
      </c>
      <c r="U17" s="3">
        <v>0</v>
      </c>
      <c r="V17" s="3">
        <v>0</v>
      </c>
      <c r="W17" s="3">
        <f t="shared" si="1"/>
        <v>26.954864508000007</v>
      </c>
      <c r="X17" s="3"/>
      <c r="Y17" s="3"/>
      <c r="Z17" s="7"/>
      <c r="AA17" s="7"/>
      <c r="AB17" s="7"/>
      <c r="AC17" s="7"/>
      <c r="AD17" s="7"/>
      <c r="AE17" s="7"/>
      <c r="AF17" s="7"/>
      <c r="AG17" s="7"/>
      <c r="AH17" s="7"/>
      <c r="AI17" s="7"/>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row>
    <row r="18" spans="3:169" ht="15">
      <c r="C18" s="1">
        <v>87</v>
      </c>
      <c r="D18" s="1">
        <v>0.34</v>
      </c>
      <c r="E18" s="1">
        <v>2.4</v>
      </c>
      <c r="H18" s="23" t="s">
        <v>215</v>
      </c>
      <c r="I18" s="3"/>
      <c r="J18" s="3"/>
      <c r="K18" s="3"/>
      <c r="L18" s="3" t="s">
        <v>90</v>
      </c>
      <c r="M18" s="3">
        <f aca="true" t="shared" si="2" ref="M18:W18">M17/$W$17</f>
        <v>0.3846153846153846</v>
      </c>
      <c r="N18" s="3">
        <f t="shared" si="2"/>
        <v>0.1923076923076923</v>
      </c>
      <c r="O18" s="3">
        <f t="shared" si="2"/>
        <v>0.1923076923076923</v>
      </c>
      <c r="P18" s="3">
        <f t="shared" si="2"/>
        <v>0.1923076923076923</v>
      </c>
      <c r="Q18" s="3">
        <f t="shared" si="2"/>
        <v>0.03846153846153846</v>
      </c>
      <c r="R18" s="3">
        <f t="shared" si="2"/>
        <v>0</v>
      </c>
      <c r="S18" s="3">
        <f t="shared" si="2"/>
        <v>0</v>
      </c>
      <c r="T18" s="3">
        <f t="shared" si="2"/>
        <v>0</v>
      </c>
      <c r="U18" s="3">
        <f t="shared" si="2"/>
        <v>0</v>
      </c>
      <c r="V18" s="3">
        <f t="shared" si="2"/>
        <v>0</v>
      </c>
      <c r="W18" s="3">
        <f t="shared" si="2"/>
        <v>1</v>
      </c>
      <c r="X18" s="3"/>
      <c r="Y18" s="3"/>
      <c r="Z18" s="7"/>
      <c r="AA18" s="7"/>
      <c r="AB18" s="7"/>
      <c r="AC18" s="7"/>
      <c r="AD18" s="7"/>
      <c r="AE18" s="7"/>
      <c r="AF18" s="7"/>
      <c r="AG18" s="7"/>
      <c r="AH18" s="7"/>
      <c r="AI18" s="7"/>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row>
    <row r="19" spans="2:169" ht="15">
      <c r="B19" s="2" t="s">
        <v>321</v>
      </c>
      <c r="E19" s="1">
        <v>6.2</v>
      </c>
      <c r="H19" s="23" t="s">
        <v>216</v>
      </c>
      <c r="I19" s="3"/>
      <c r="J19" s="3"/>
      <c r="K19" s="3"/>
      <c r="L19" s="3" t="s">
        <v>91</v>
      </c>
      <c r="M19" s="3">
        <v>0</v>
      </c>
      <c r="N19" s="3">
        <v>0</v>
      </c>
      <c r="O19" s="3">
        <v>0</v>
      </c>
      <c r="P19" s="3">
        <v>0</v>
      </c>
      <c r="Q19" s="3">
        <v>0</v>
      </c>
      <c r="R19" s="3">
        <v>0</v>
      </c>
      <c r="S19" s="3">
        <v>0</v>
      </c>
      <c r="T19" s="3">
        <v>0</v>
      </c>
      <c r="U19" s="3">
        <v>0</v>
      </c>
      <c r="V19" s="3">
        <v>0</v>
      </c>
      <c r="W19" s="3">
        <f t="shared" si="1"/>
        <v>0</v>
      </c>
      <c r="X19" s="3"/>
      <c r="Y19" s="3"/>
      <c r="Z19" s="7"/>
      <c r="AA19" s="7"/>
      <c r="AB19" s="7"/>
      <c r="AC19" s="7"/>
      <c r="AD19" s="7"/>
      <c r="AE19" s="7"/>
      <c r="AF19" s="7"/>
      <c r="AG19" s="7"/>
      <c r="AH19" s="7"/>
      <c r="AI19" s="7"/>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row>
    <row r="20" spans="5:169" ht="15">
      <c r="E20" s="1">
        <v>13.8</v>
      </c>
      <c r="H20" s="23" t="s">
        <v>217</v>
      </c>
      <c r="I20" s="3"/>
      <c r="J20" s="3"/>
      <c r="K20" s="3"/>
      <c r="L20" s="3" t="s">
        <v>92</v>
      </c>
      <c r="M20" s="3">
        <v>0</v>
      </c>
      <c r="N20" s="3">
        <v>0</v>
      </c>
      <c r="O20" s="3">
        <v>0</v>
      </c>
      <c r="P20" s="3">
        <v>0</v>
      </c>
      <c r="Q20" s="3">
        <v>0</v>
      </c>
      <c r="R20" s="3">
        <v>0</v>
      </c>
      <c r="S20" s="3">
        <v>0</v>
      </c>
      <c r="T20" s="3">
        <v>0</v>
      </c>
      <c r="U20" s="3">
        <v>0</v>
      </c>
      <c r="V20" s="3">
        <v>0</v>
      </c>
      <c r="W20" s="3">
        <v>0</v>
      </c>
      <c r="X20" s="3"/>
      <c r="Y20" s="3"/>
      <c r="Z20" s="3"/>
      <c r="AA20" s="3"/>
      <c r="AB20" s="3"/>
      <c r="AC20" s="3"/>
      <c r="AD20" s="3"/>
      <c r="AE20" s="7"/>
      <c r="AF20" s="7"/>
      <c r="AG20" s="7"/>
      <c r="AH20" s="7"/>
      <c r="AI20" s="7"/>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row>
    <row r="21" spans="5:169" ht="15">
      <c r="E21" s="1">
        <v>13.8</v>
      </c>
      <c r="H21" s="23" t="s">
        <v>218</v>
      </c>
      <c r="I21" s="3"/>
      <c r="J21" s="3"/>
      <c r="K21" s="3"/>
      <c r="L21" s="3" t="s">
        <v>93</v>
      </c>
      <c r="M21" s="3">
        <f>M13+M17+M19</f>
        <v>18.103222215807676</v>
      </c>
      <c r="N21" s="3">
        <f aca="true" t="shared" si="3" ref="N21:W21">N13+N17+N19</f>
        <v>11.158548125237822</v>
      </c>
      <c r="O21" s="3">
        <f t="shared" si="3"/>
        <v>10.142712874986369</v>
      </c>
      <c r="P21" s="3">
        <f t="shared" si="3"/>
        <v>7.174196379452617</v>
      </c>
      <c r="Q21" s="3">
        <f t="shared" si="3"/>
        <v>1.425905801008026</v>
      </c>
      <c r="R21" s="3">
        <f>R13+R17+R19</f>
        <v>0</v>
      </c>
      <c r="S21" s="3">
        <f t="shared" si="3"/>
        <v>0</v>
      </c>
      <c r="T21" s="3">
        <f t="shared" si="3"/>
        <v>0</v>
      </c>
      <c r="U21" s="3">
        <f t="shared" si="3"/>
        <v>0</v>
      </c>
      <c r="V21" s="3">
        <f t="shared" si="3"/>
        <v>0</v>
      </c>
      <c r="W21" s="3">
        <f t="shared" si="3"/>
        <v>48.004585396492516</v>
      </c>
      <c r="X21" s="3"/>
      <c r="Y21" s="3"/>
      <c r="Z21" s="7"/>
      <c r="AA21" s="7"/>
      <c r="AB21" s="7"/>
      <c r="AC21" s="7"/>
      <c r="AD21" s="7"/>
      <c r="AE21" s="7"/>
      <c r="AF21" s="7"/>
      <c r="AG21" s="7"/>
      <c r="AH21" s="7"/>
      <c r="AI21" s="7"/>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row>
    <row r="22" spans="3:169" ht="15">
      <c r="C22" s="1">
        <v>89</v>
      </c>
      <c r="D22" s="1">
        <v>0.34</v>
      </c>
      <c r="E22" s="1">
        <v>3.2</v>
      </c>
      <c r="H22" s="23" t="s">
        <v>219</v>
      </c>
      <c r="I22" s="3"/>
      <c r="J22" s="3"/>
      <c r="K22" s="3"/>
      <c r="L22" s="3" t="s">
        <v>93</v>
      </c>
      <c r="M22" s="3">
        <f>M21/$W$21</f>
        <v>0.37711443742893774</v>
      </c>
      <c r="N22" s="3">
        <f aca="true" t="shared" si="4" ref="N22:W22">N21/$W$21</f>
        <v>0.2324475471056381</v>
      </c>
      <c r="O22" s="3">
        <f t="shared" si="4"/>
        <v>0.21128633423688423</v>
      </c>
      <c r="P22" s="3">
        <f t="shared" si="4"/>
        <v>0.14944814792581887</v>
      </c>
      <c r="Q22" s="3">
        <f t="shared" si="4"/>
        <v>0.029703533302720925</v>
      </c>
      <c r="R22" s="3">
        <f t="shared" si="4"/>
        <v>0</v>
      </c>
      <c r="S22" s="3">
        <f t="shared" si="4"/>
        <v>0</v>
      </c>
      <c r="T22" s="3">
        <f t="shared" si="4"/>
        <v>0</v>
      </c>
      <c r="U22" s="3">
        <f t="shared" si="4"/>
        <v>0</v>
      </c>
      <c r="V22" s="3">
        <f t="shared" si="4"/>
        <v>0</v>
      </c>
      <c r="W22" s="3">
        <f t="shared" si="4"/>
        <v>1</v>
      </c>
      <c r="X22" s="3"/>
      <c r="Y22" s="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row>
    <row r="23" spans="2:32" ht="15">
      <c r="B23" s="2" t="s">
        <v>328</v>
      </c>
      <c r="E23" s="1">
        <v>8.9</v>
      </c>
      <c r="H23" s="7"/>
      <c r="I23" s="7"/>
      <c r="J23" s="7"/>
      <c r="K23" s="7"/>
      <c r="L23" s="7" t="s">
        <v>46</v>
      </c>
      <c r="M23" s="7" t="s">
        <v>47</v>
      </c>
      <c r="N23" s="11">
        <v>37021</v>
      </c>
      <c r="O23" s="11">
        <v>37179</v>
      </c>
      <c r="P23" s="7" t="s">
        <v>48</v>
      </c>
      <c r="Q23" s="7" t="s">
        <v>49</v>
      </c>
      <c r="R23" s="7" t="s">
        <v>50</v>
      </c>
      <c r="S23" s="7" t="s">
        <v>51</v>
      </c>
      <c r="T23" s="7" t="s">
        <v>52</v>
      </c>
      <c r="U23" s="7" t="s">
        <v>53</v>
      </c>
      <c r="V23" s="7" t="s">
        <v>54</v>
      </c>
      <c r="W23" s="7" t="s">
        <v>55</v>
      </c>
      <c r="X23" s="7" t="s">
        <v>56</v>
      </c>
      <c r="Y23" s="7" t="s">
        <v>57</v>
      </c>
      <c r="Z23" s="7" t="s">
        <v>58</v>
      </c>
      <c r="AA23" s="7" t="s">
        <v>59</v>
      </c>
      <c r="AB23" s="7" t="s">
        <v>60</v>
      </c>
      <c r="AC23" s="7" t="s">
        <v>61</v>
      </c>
      <c r="AD23" s="7" t="s">
        <v>62</v>
      </c>
      <c r="AE23" s="7" t="s">
        <v>63</v>
      </c>
      <c r="AF23" s="7"/>
    </row>
    <row r="24" spans="5:32" ht="15">
      <c r="E24" s="1">
        <v>11.4</v>
      </c>
      <c r="H24" s="7"/>
      <c r="I24" s="7"/>
      <c r="J24" s="7"/>
      <c r="K24" s="7"/>
      <c r="L24" s="13" t="s">
        <v>234</v>
      </c>
      <c r="M24" s="7"/>
      <c r="N24" s="12"/>
      <c r="O24" s="12"/>
      <c r="P24" s="7"/>
      <c r="Q24" s="7"/>
      <c r="R24" s="7"/>
      <c r="S24" s="7"/>
      <c r="T24" s="7"/>
      <c r="U24" s="7"/>
      <c r="V24" s="7"/>
      <c r="W24" s="7"/>
      <c r="X24" s="7"/>
      <c r="Y24" s="7"/>
      <c r="Z24" s="7"/>
      <c r="AA24" s="7"/>
      <c r="AB24" s="7"/>
      <c r="AC24" s="7"/>
      <c r="AD24" s="7"/>
      <c r="AE24" s="13" t="s">
        <v>235</v>
      </c>
      <c r="AF24" s="7"/>
    </row>
    <row r="25" spans="8:32" ht="15">
      <c r="H25" s="13" t="s">
        <v>220</v>
      </c>
      <c r="I25" s="7"/>
      <c r="J25" s="7"/>
      <c r="K25" s="7"/>
      <c r="L25" s="7" t="s">
        <v>97</v>
      </c>
      <c r="M25" s="7">
        <v>1.1693041800657908</v>
      </c>
      <c r="N25" s="7">
        <v>0.6091815857740561</v>
      </c>
      <c r="O25" s="7">
        <v>0.24066944979131222</v>
      </c>
      <c r="P25" s="7">
        <v>0.36547466148817537</v>
      </c>
      <c r="Q25" s="7">
        <v>0.7874673654635748</v>
      </c>
      <c r="R25" s="7">
        <v>0.3752979176739852</v>
      </c>
      <c r="S25" s="7">
        <v>0.6682479213315645</v>
      </c>
      <c r="T25" s="7">
        <v>0.48512569584449133</v>
      </c>
      <c r="U25" s="7">
        <v>0.41090590444703895</v>
      </c>
      <c r="V25" s="7">
        <v>0.9217541739803154</v>
      </c>
      <c r="W25" s="7">
        <v>1.3940131744631528</v>
      </c>
      <c r="X25" s="7">
        <v>1.0843982803250352</v>
      </c>
      <c r="Y25" s="7">
        <v>1.6382598079190256</v>
      </c>
      <c r="Z25" s="7">
        <v>2.0656756995840073</v>
      </c>
      <c r="AA25" s="7">
        <v>1.6456437101203598</v>
      </c>
      <c r="AB25" s="7">
        <v>2.7910308716151717</v>
      </c>
      <c r="AC25" s="7">
        <v>2.407084398965041</v>
      </c>
      <c r="AD25" s="7">
        <v>2.052477805262121</v>
      </c>
      <c r="AE25" s="7">
        <f>SUM(M25:AD25)</f>
        <v>21.112012604114216</v>
      </c>
      <c r="AF25" s="7"/>
    </row>
    <row r="26" spans="3:32" ht="15">
      <c r="C26" s="1">
        <v>85</v>
      </c>
      <c r="D26" s="1">
        <v>0.35</v>
      </c>
      <c r="E26" s="1">
        <v>1.8</v>
      </c>
      <c r="H26" s="13" t="s">
        <v>221</v>
      </c>
      <c r="I26" s="7"/>
      <c r="J26" s="7"/>
      <c r="K26" s="7"/>
      <c r="L26" s="7" t="s">
        <v>64</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f>3.1415*0.39*23</f>
        <v>28.179255000000005</v>
      </c>
      <c r="AE26" s="7">
        <f>SUM(M26:AD26)</f>
        <v>28.179255000000005</v>
      </c>
      <c r="AF26" s="7"/>
    </row>
    <row r="27" spans="2:32" ht="15">
      <c r="B27" s="2" t="s">
        <v>325</v>
      </c>
      <c r="E27" s="1">
        <v>4.7</v>
      </c>
      <c r="H27" s="13" t="s">
        <v>222</v>
      </c>
      <c r="I27" s="7"/>
      <c r="J27" s="7"/>
      <c r="K27" s="7"/>
      <c r="L27" s="7" t="s">
        <v>65</v>
      </c>
      <c r="M27" s="7">
        <f>M25+M26</f>
        <v>1.1693041800657908</v>
      </c>
      <c r="N27" s="7">
        <f aca="true" t="shared" si="5" ref="N27:AC27">N25+N26</f>
        <v>0.6091815857740561</v>
      </c>
      <c r="O27" s="7">
        <f t="shared" si="5"/>
        <v>0.24066944979131222</v>
      </c>
      <c r="P27" s="7">
        <f t="shared" si="5"/>
        <v>0.36547466148817537</v>
      </c>
      <c r="Q27" s="7">
        <f t="shared" si="5"/>
        <v>0.7874673654635748</v>
      </c>
      <c r="R27" s="7">
        <f t="shared" si="5"/>
        <v>0.3752979176739852</v>
      </c>
      <c r="S27" s="7">
        <f t="shared" si="5"/>
        <v>0.6682479213315645</v>
      </c>
      <c r="T27" s="7">
        <f t="shared" si="5"/>
        <v>0.48512569584449133</v>
      </c>
      <c r="U27" s="7">
        <f t="shared" si="5"/>
        <v>0.41090590444703895</v>
      </c>
      <c r="V27" s="7">
        <f t="shared" si="5"/>
        <v>0.9217541739803154</v>
      </c>
      <c r="W27" s="7">
        <f t="shared" si="5"/>
        <v>1.3940131744631528</v>
      </c>
      <c r="X27" s="7">
        <f t="shared" si="5"/>
        <v>1.0843982803250352</v>
      </c>
      <c r="Y27" s="7">
        <f t="shared" si="5"/>
        <v>1.6382598079190256</v>
      </c>
      <c r="Z27" s="7">
        <f t="shared" si="5"/>
        <v>2.0656756995840073</v>
      </c>
      <c r="AA27" s="7">
        <f t="shared" si="5"/>
        <v>1.6456437101203598</v>
      </c>
      <c r="AB27" s="7">
        <f t="shared" si="5"/>
        <v>2.7910308716151717</v>
      </c>
      <c r="AC27" s="7">
        <f t="shared" si="5"/>
        <v>2.407084398965041</v>
      </c>
      <c r="AD27" s="7">
        <f>AD25+AD26</f>
        <v>30.231732805262126</v>
      </c>
      <c r="AE27" s="7">
        <f>SUM(M27:AD27)</f>
        <v>49.291267604114225</v>
      </c>
      <c r="AF27" s="7"/>
    </row>
    <row r="28" spans="5:32" ht="15">
      <c r="E28" s="1">
        <v>13.4</v>
      </c>
      <c r="H28" s="13" t="s">
        <v>223</v>
      </c>
      <c r="I28" s="7"/>
      <c r="J28" s="7"/>
      <c r="K28" s="7"/>
      <c r="L28" s="7" t="s">
        <v>66</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f>SUM(M28:AD28)</f>
        <v>0</v>
      </c>
      <c r="AF28" s="7"/>
    </row>
    <row r="29" spans="5:32" ht="15">
      <c r="E29" s="1">
        <v>13.4</v>
      </c>
      <c r="H29" s="13" t="s">
        <v>224</v>
      </c>
      <c r="I29" s="7"/>
      <c r="J29" s="7"/>
      <c r="K29" s="7"/>
      <c r="L29" s="7" t="s">
        <v>67</v>
      </c>
      <c r="M29" s="7">
        <f>M27+M28</f>
        <v>1.1693041800657908</v>
      </c>
      <c r="N29" s="7">
        <f>N27+N28</f>
        <v>0.6091815857740561</v>
      </c>
      <c r="O29" s="7">
        <f aca="true" t="shared" si="6" ref="O29:AB29">O27+O28</f>
        <v>0.24066944979131222</v>
      </c>
      <c r="P29" s="7">
        <f t="shared" si="6"/>
        <v>0.36547466148817537</v>
      </c>
      <c r="Q29" s="7">
        <f t="shared" si="6"/>
        <v>0.7874673654635748</v>
      </c>
      <c r="R29" s="7">
        <f t="shared" si="6"/>
        <v>0.3752979176739852</v>
      </c>
      <c r="S29" s="7">
        <f t="shared" si="6"/>
        <v>0.6682479213315645</v>
      </c>
      <c r="T29" s="7">
        <f t="shared" si="6"/>
        <v>0.48512569584449133</v>
      </c>
      <c r="U29" s="7">
        <f t="shared" si="6"/>
        <v>0.41090590444703895</v>
      </c>
      <c r="V29" s="7">
        <f t="shared" si="6"/>
        <v>0.9217541739803154</v>
      </c>
      <c r="W29" s="7">
        <f t="shared" si="6"/>
        <v>1.3940131744631528</v>
      </c>
      <c r="X29" s="7">
        <f t="shared" si="6"/>
        <v>1.0843982803250352</v>
      </c>
      <c r="Y29" s="7">
        <f t="shared" si="6"/>
        <v>1.6382598079190256</v>
      </c>
      <c r="Z29" s="7">
        <f t="shared" si="6"/>
        <v>2.0656756995840073</v>
      </c>
      <c r="AA29" s="7">
        <f t="shared" si="6"/>
        <v>1.6456437101203598</v>
      </c>
      <c r="AB29" s="7">
        <f t="shared" si="6"/>
        <v>2.7910308716151717</v>
      </c>
      <c r="AC29" s="7">
        <f>AC27+AC28</f>
        <v>2.407084398965041</v>
      </c>
      <c r="AD29" s="7">
        <f>AD27+AD28</f>
        <v>30.231732805262126</v>
      </c>
      <c r="AE29" s="7">
        <f>AE27+AE28</f>
        <v>49.291267604114225</v>
      </c>
      <c r="AF29" s="7"/>
    </row>
    <row r="30" spans="3:32" ht="15">
      <c r="C30" s="1">
        <v>87</v>
      </c>
      <c r="D30" s="1">
        <v>0.33</v>
      </c>
      <c r="E30" s="1">
        <v>3.1</v>
      </c>
      <c r="H30" s="13" t="s">
        <v>225</v>
      </c>
      <c r="I30" s="7"/>
      <c r="J30" s="7"/>
      <c r="K30" s="7"/>
      <c r="L30" s="7" t="s">
        <v>68</v>
      </c>
      <c r="M30" s="7">
        <f>M25/AE25</f>
        <v>0.05538572764199288</v>
      </c>
      <c r="N30" s="7">
        <f>N25/AE25</f>
        <v>0.02885473768878584</v>
      </c>
      <c r="O30" s="7">
        <f>O25/AE25</f>
        <v>0.011399645041155934</v>
      </c>
      <c r="P30" s="7">
        <f>P25/AE25</f>
        <v>0.01731121842059498</v>
      </c>
      <c r="Q30" s="7">
        <f>Q25/AE25</f>
        <v>0.03729949295834148</v>
      </c>
      <c r="R30" s="7">
        <f>R25/AE25</f>
        <v>0.01777651068666228</v>
      </c>
      <c r="S30" s="7">
        <f>S25/AE25</f>
        <v>0.031652497270740515</v>
      </c>
      <c r="T30" s="7">
        <f>T25/AE25</f>
        <v>0.022978656982705296</v>
      </c>
      <c r="U30" s="7">
        <f>U25/AE25</f>
        <v>0.019463132774322208</v>
      </c>
      <c r="V30" s="7">
        <f>V25/AE25</f>
        <v>0.04366017543020451</v>
      </c>
      <c r="W30" s="7">
        <f>W25/AE25</f>
        <v>0.06602938339433795</v>
      </c>
      <c r="X30" s="7">
        <f>X25/AE25</f>
        <v>0.05136404096849167</v>
      </c>
      <c r="Y30" s="7">
        <f>Y25/AE25</f>
        <v>0.07759846674209396</v>
      </c>
      <c r="Z30" s="7">
        <f>Z25/AE25</f>
        <v>0.0978436181485349</v>
      </c>
      <c r="AA30" s="7">
        <f>AA25/AE25</f>
        <v>0.07794821559549771</v>
      </c>
      <c r="AB30" s="7">
        <f>AB25/AE25</f>
        <v>0.132201080207354</v>
      </c>
      <c r="AC30" s="7">
        <f>AC25/AE25</f>
        <v>0.1140149186201205</v>
      </c>
      <c r="AD30" s="7">
        <f>AD25/AE25</f>
        <v>0.09721848142806352</v>
      </c>
      <c r="AE30" s="7">
        <f>AE25/AE25</f>
        <v>1</v>
      </c>
      <c r="AF30" s="7"/>
    </row>
    <row r="31" spans="2:32" ht="15">
      <c r="B31" s="2" t="s">
        <v>301</v>
      </c>
      <c r="E31" s="1">
        <v>6</v>
      </c>
      <c r="H31" s="13" t="s">
        <v>226</v>
      </c>
      <c r="I31" s="7"/>
      <c r="J31" s="7"/>
      <c r="K31" s="7"/>
      <c r="L31" s="7" t="s">
        <v>69</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1</v>
      </c>
      <c r="AE31" s="7"/>
      <c r="AF31" s="7"/>
    </row>
    <row r="32" spans="5:32" ht="15">
      <c r="E32" s="1">
        <v>11.6</v>
      </c>
      <c r="H32" s="13" t="s">
        <v>227</v>
      </c>
      <c r="I32" s="7"/>
      <c r="J32" s="7"/>
      <c r="K32" s="7"/>
      <c r="L32" s="7" t="s">
        <v>70</v>
      </c>
      <c r="M32" s="3">
        <f>M27/AE27</f>
        <v>0.023722339410240524</v>
      </c>
      <c r="N32" s="3">
        <f>N27/AE27</f>
        <v>0.012358813546178902</v>
      </c>
      <c r="O32" s="3">
        <f>O27/AE27</f>
        <v>0.004882598104886718</v>
      </c>
      <c r="P32" s="3">
        <f>P27/AE27</f>
        <v>0.0074145924674428555</v>
      </c>
      <c r="Q32" s="3">
        <f>Q27/AE27</f>
        <v>0.015975798630056874</v>
      </c>
      <c r="R32" s="3">
        <f>R27/AE27</f>
        <v>0.00761388245658872</v>
      </c>
      <c r="S32" s="3">
        <f>S27/AE27</f>
        <v>0.013557125913227426</v>
      </c>
      <c r="T32" s="3">
        <f>T27/AE27</f>
        <v>0.009842021100792284</v>
      </c>
      <c r="U32" s="3">
        <f>U27/AE27</f>
        <v>0.008336281950532383</v>
      </c>
      <c r="V32" s="3">
        <f>V27/AE27</f>
        <v>0.018700151543746844</v>
      </c>
      <c r="W32" s="3">
        <f aca="true" t="shared" si="7" ref="W32:AD32">W27/$AE27</f>
        <v>0.0282811386726601</v>
      </c>
      <c r="X32" s="3">
        <f t="shared" si="7"/>
        <v>0.02199980509802355</v>
      </c>
      <c r="Y32" s="3">
        <f t="shared" si="7"/>
        <v>0.033236309138503145</v>
      </c>
      <c r="Z32" s="3">
        <f t="shared" si="7"/>
        <v>0.04190753859638193</v>
      </c>
      <c r="AA32" s="3">
        <f t="shared" si="7"/>
        <v>0.033386110565008106</v>
      </c>
      <c r="AB32" s="3">
        <f t="shared" si="7"/>
        <v>0.05662323180713273</v>
      </c>
      <c r="AC32" s="3">
        <f t="shared" si="7"/>
        <v>0.04883389119341956</v>
      </c>
      <c r="AD32" s="3">
        <f t="shared" si="7"/>
        <v>0.6133283698051774</v>
      </c>
      <c r="AE32" s="7"/>
      <c r="AF32" s="7"/>
    </row>
    <row r="33" spans="5:32" ht="15">
      <c r="E33" s="1">
        <v>11.6</v>
      </c>
      <c r="H33" s="13" t="s">
        <v>228</v>
      </c>
      <c r="I33" s="7"/>
      <c r="J33" s="7"/>
      <c r="K33" s="7"/>
      <c r="L33" s="7" t="s">
        <v>71</v>
      </c>
      <c r="M33" s="7">
        <f>M30</f>
        <v>0.05538572764199288</v>
      </c>
      <c r="N33" s="7">
        <f>M30+N30</f>
        <v>0.08424046533077872</v>
      </c>
      <c r="O33" s="7">
        <f>N33+O30</f>
        <v>0.09564011037193466</v>
      </c>
      <c r="P33" s="7">
        <f>O33+P30</f>
        <v>0.11295132879252964</v>
      </c>
      <c r="Q33" s="7">
        <f aca="true" t="shared" si="8" ref="Q33:AD33">P33+Q30</f>
        <v>0.15025082175087112</v>
      </c>
      <c r="R33" s="7">
        <f t="shared" si="8"/>
        <v>0.1680273324375334</v>
      </c>
      <c r="S33" s="7">
        <f t="shared" si="8"/>
        <v>0.19967982970827391</v>
      </c>
      <c r="T33" s="7">
        <f t="shared" si="8"/>
        <v>0.2226584866909792</v>
      </c>
      <c r="U33" s="7">
        <f t="shared" si="8"/>
        <v>0.24212161946530142</v>
      </c>
      <c r="V33" s="7">
        <f t="shared" si="8"/>
        <v>0.2857817948955059</v>
      </c>
      <c r="W33" s="7">
        <f t="shared" si="8"/>
        <v>0.3518111782898439</v>
      </c>
      <c r="X33" s="7">
        <f t="shared" si="8"/>
        <v>0.40317521925833555</v>
      </c>
      <c r="Y33" s="7">
        <f t="shared" si="8"/>
        <v>0.4807736860004295</v>
      </c>
      <c r="Z33" s="7">
        <f>Y33+Z30</f>
        <v>0.5786173041489644</v>
      </c>
      <c r="AA33" s="7">
        <f t="shared" si="8"/>
        <v>0.6565655197444621</v>
      </c>
      <c r="AB33" s="7">
        <f t="shared" si="8"/>
        <v>0.7887665999518161</v>
      </c>
      <c r="AC33" s="7">
        <f t="shared" si="8"/>
        <v>0.9027815185719366</v>
      </c>
      <c r="AD33" s="7">
        <f t="shared" si="8"/>
        <v>1</v>
      </c>
      <c r="AE33" s="7"/>
      <c r="AF33" s="7"/>
    </row>
    <row r="34" spans="3:32" ht="15">
      <c r="C34" s="1">
        <v>87</v>
      </c>
      <c r="D34" s="1">
        <v>0.32</v>
      </c>
      <c r="E34" s="1">
        <v>1.7</v>
      </c>
      <c r="H34" s="13" t="s">
        <v>230</v>
      </c>
      <c r="I34" s="7"/>
      <c r="J34" s="7"/>
      <c r="K34" s="7"/>
      <c r="L34" s="7" t="s">
        <v>72</v>
      </c>
      <c r="M34" s="7">
        <f>M33+M31</f>
        <v>0.05538572764199288</v>
      </c>
      <c r="N34" s="13">
        <f>N33+N31</f>
        <v>0.08424046533077872</v>
      </c>
      <c r="O34" s="13">
        <f aca="true" t="shared" si="9" ref="O34:AC34">O33+O31</f>
        <v>0.09564011037193466</v>
      </c>
      <c r="P34" s="13">
        <f t="shared" si="9"/>
        <v>0.11295132879252964</v>
      </c>
      <c r="Q34" s="13">
        <f t="shared" si="9"/>
        <v>0.15025082175087112</v>
      </c>
      <c r="R34" s="13">
        <f t="shared" si="9"/>
        <v>0.1680273324375334</v>
      </c>
      <c r="S34" s="13">
        <f t="shared" si="9"/>
        <v>0.19967982970827391</v>
      </c>
      <c r="T34" s="13">
        <f t="shared" si="9"/>
        <v>0.2226584866909792</v>
      </c>
      <c r="U34" s="13">
        <f t="shared" si="9"/>
        <v>0.24212161946530142</v>
      </c>
      <c r="V34" s="13">
        <f t="shared" si="9"/>
        <v>0.2857817948955059</v>
      </c>
      <c r="W34" s="13">
        <f t="shared" si="9"/>
        <v>0.3518111782898439</v>
      </c>
      <c r="X34" s="13">
        <f t="shared" si="9"/>
        <v>0.40317521925833555</v>
      </c>
      <c r="Y34" s="13">
        <f t="shared" si="9"/>
        <v>0.4807736860004295</v>
      </c>
      <c r="Z34" s="13">
        <f t="shared" si="9"/>
        <v>0.5786173041489644</v>
      </c>
      <c r="AA34" s="13">
        <f t="shared" si="9"/>
        <v>0.6565655197444621</v>
      </c>
      <c r="AB34" s="13">
        <f t="shared" si="9"/>
        <v>0.7887665999518161</v>
      </c>
      <c r="AC34" s="13">
        <f t="shared" si="9"/>
        <v>0.9027815185719366</v>
      </c>
      <c r="AD34" s="13"/>
      <c r="AE34" s="13"/>
      <c r="AF34" s="13"/>
    </row>
    <row r="35" spans="2:32" ht="15">
      <c r="B35" s="2" t="s">
        <v>298</v>
      </c>
      <c r="E35" s="1">
        <v>4.9</v>
      </c>
      <c r="H35" s="7" t="s">
        <v>229</v>
      </c>
      <c r="I35" s="7"/>
      <c r="J35" s="7"/>
      <c r="K35" s="7"/>
      <c r="L35" s="7" t="s">
        <v>73</v>
      </c>
      <c r="M35" s="7">
        <f>M32</f>
        <v>0.023722339410240524</v>
      </c>
      <c r="N35" s="7">
        <f>M35+N32</f>
        <v>0.03608115295641943</v>
      </c>
      <c r="O35" s="7">
        <f>N35+O32</f>
        <v>0.04096375106130615</v>
      </c>
      <c r="P35" s="7">
        <f aca="true" t="shared" si="10" ref="P35:AD35">O35+P32</f>
        <v>0.048378343528749</v>
      </c>
      <c r="Q35" s="7">
        <f t="shared" si="10"/>
        <v>0.06435414215880587</v>
      </c>
      <c r="R35" s="7">
        <f t="shared" si="10"/>
        <v>0.07196802461539459</v>
      </c>
      <c r="S35" s="7">
        <f t="shared" si="10"/>
        <v>0.08552515052862202</v>
      </c>
      <c r="T35" s="7">
        <f t="shared" si="10"/>
        <v>0.0953671716294143</v>
      </c>
      <c r="U35" s="7">
        <f t="shared" si="10"/>
        <v>0.10370345357994668</v>
      </c>
      <c r="V35" s="7">
        <f t="shared" si="10"/>
        <v>0.12240360512369353</v>
      </c>
      <c r="W35" s="7">
        <f t="shared" si="10"/>
        <v>0.15068474379635363</v>
      </c>
      <c r="X35" s="7">
        <f t="shared" si="10"/>
        <v>0.17268454889437718</v>
      </c>
      <c r="Y35" s="7">
        <f t="shared" si="10"/>
        <v>0.20592085803288032</v>
      </c>
      <c r="Z35" s="7">
        <f>Y35+Z32</f>
        <v>0.24782839662926226</v>
      </c>
      <c r="AA35" s="7">
        <f t="shared" si="10"/>
        <v>0.2812145071942704</v>
      </c>
      <c r="AB35" s="7">
        <f t="shared" si="10"/>
        <v>0.3378377390014031</v>
      </c>
      <c r="AC35" s="7">
        <f t="shared" si="10"/>
        <v>0.3866716301948227</v>
      </c>
      <c r="AD35" s="7">
        <f t="shared" si="10"/>
        <v>1</v>
      </c>
      <c r="AE35" s="7"/>
      <c r="AF35" s="7"/>
    </row>
    <row r="36" spans="5:32" ht="14.25">
      <c r="E36" s="1">
        <v>12.7</v>
      </c>
      <c r="H36" s="7"/>
      <c r="I36" s="7"/>
      <c r="J36" s="7"/>
      <c r="K36" s="7"/>
      <c r="L36" s="7"/>
      <c r="M36" s="7"/>
      <c r="N36" s="7"/>
      <c r="O36" s="7"/>
      <c r="P36" s="7"/>
      <c r="Q36" s="7"/>
      <c r="R36" s="7"/>
      <c r="S36" s="7"/>
      <c r="T36" s="7"/>
      <c r="U36" s="7"/>
      <c r="V36" s="7"/>
      <c r="W36" s="7"/>
      <c r="X36" s="7"/>
      <c r="Y36" s="7"/>
      <c r="Z36" s="7"/>
      <c r="AA36" s="7"/>
      <c r="AB36" s="7"/>
      <c r="AC36" s="7"/>
      <c r="AD36" s="7"/>
      <c r="AE36" s="7"/>
      <c r="AF36" s="7"/>
    </row>
    <row r="37" spans="5:8" ht="15">
      <c r="E37" s="1">
        <v>12.7</v>
      </c>
      <c r="H37" s="4" t="s">
        <v>231</v>
      </c>
    </row>
    <row r="39" spans="3:28" ht="15">
      <c r="C39" s="1">
        <v>88</v>
      </c>
      <c r="D39" s="1">
        <v>0.33</v>
      </c>
      <c r="E39" s="1">
        <v>1.6</v>
      </c>
      <c r="I39" s="17"/>
      <c r="J39" s="3"/>
      <c r="K39" s="3"/>
      <c r="L39" s="3"/>
      <c r="M39" s="3"/>
      <c r="N39" s="3"/>
      <c r="O39" s="3"/>
      <c r="P39" s="3"/>
      <c r="Q39" s="3"/>
      <c r="R39" s="3"/>
      <c r="S39" s="3"/>
      <c r="T39" s="3"/>
      <c r="U39" s="3"/>
      <c r="V39" s="3"/>
      <c r="W39" s="3"/>
      <c r="X39" s="3"/>
      <c r="Y39" s="3"/>
      <c r="Z39" s="3"/>
      <c r="AA39" s="3"/>
      <c r="AB39" s="3"/>
    </row>
    <row r="40" spans="5:28" ht="14.25">
      <c r="E40" s="1">
        <v>4</v>
      </c>
      <c r="I40" s="3"/>
      <c r="J40" s="3"/>
      <c r="K40" s="3"/>
      <c r="L40" s="3"/>
      <c r="M40" s="3"/>
      <c r="N40" s="3"/>
      <c r="O40" s="3"/>
      <c r="P40" s="3"/>
      <c r="Q40" s="3"/>
      <c r="R40" s="3"/>
      <c r="S40" s="3"/>
      <c r="T40" s="3"/>
      <c r="U40" s="3"/>
      <c r="V40" s="3"/>
      <c r="W40" s="3"/>
      <c r="X40" s="3"/>
      <c r="Y40" s="3"/>
      <c r="Z40" s="3"/>
      <c r="AA40" s="3"/>
      <c r="AB40" s="3"/>
    </row>
    <row r="41" spans="1:28" ht="15">
      <c r="A41" s="2" t="s">
        <v>249</v>
      </c>
      <c r="B41" s="2" t="s">
        <v>326</v>
      </c>
      <c r="E41" s="1">
        <v>9.5</v>
      </c>
      <c r="I41" s="3"/>
      <c r="J41" s="3"/>
      <c r="K41" s="3"/>
      <c r="L41" s="3"/>
      <c r="M41" s="3"/>
      <c r="N41" s="3"/>
      <c r="O41" s="3"/>
      <c r="P41" s="3"/>
      <c r="Q41" s="3"/>
      <c r="R41" s="3"/>
      <c r="S41" s="3"/>
      <c r="T41" s="3"/>
      <c r="U41" s="3"/>
      <c r="V41" s="3"/>
      <c r="W41" s="3"/>
      <c r="X41" s="3"/>
      <c r="Y41" s="3"/>
      <c r="Z41" s="3"/>
      <c r="AA41" s="3"/>
      <c r="AB41" s="3"/>
    </row>
    <row r="42" spans="5:28" ht="14.25">
      <c r="E42" s="1">
        <v>9.5</v>
      </c>
      <c r="I42" s="3"/>
      <c r="J42" s="3"/>
      <c r="K42" s="3"/>
      <c r="L42" s="3"/>
      <c r="M42" s="3"/>
      <c r="N42" s="3"/>
      <c r="O42" s="3"/>
      <c r="P42" s="3"/>
      <c r="Q42" s="3"/>
      <c r="R42" s="3"/>
      <c r="S42" s="3"/>
      <c r="T42" s="3"/>
      <c r="U42" s="3"/>
      <c r="V42" s="3"/>
      <c r="W42" s="3"/>
      <c r="X42" s="3"/>
      <c r="Y42" s="3"/>
      <c r="Z42" s="3"/>
      <c r="AA42" s="3"/>
      <c r="AB42" s="3"/>
    </row>
    <row r="43" spans="3:28" ht="14.25">
      <c r="C43" s="1">
        <v>87</v>
      </c>
      <c r="D43" s="1">
        <v>0.32</v>
      </c>
      <c r="E43" s="1">
        <v>2.5</v>
      </c>
      <c r="I43" s="3"/>
      <c r="J43" s="3"/>
      <c r="K43" s="3"/>
      <c r="L43" s="3"/>
      <c r="M43" s="3"/>
      <c r="N43" s="3"/>
      <c r="O43" s="3"/>
      <c r="P43" s="3"/>
      <c r="Q43" s="3"/>
      <c r="R43" s="3"/>
      <c r="S43" s="3"/>
      <c r="T43" s="3"/>
      <c r="U43" s="3"/>
      <c r="V43" s="3"/>
      <c r="W43" s="3"/>
      <c r="X43" s="3"/>
      <c r="Y43" s="3"/>
      <c r="Z43" s="3"/>
      <c r="AA43" s="3"/>
      <c r="AB43" s="3"/>
    </row>
    <row r="44" spans="5:28" ht="14.25">
      <c r="E44" s="1">
        <v>6.8</v>
      </c>
      <c r="I44" s="3"/>
      <c r="J44" s="3"/>
      <c r="K44" s="3"/>
      <c r="L44" s="3"/>
      <c r="M44" s="3"/>
      <c r="N44" s="3"/>
      <c r="O44" s="3"/>
      <c r="P44" s="3"/>
      <c r="Q44" s="3"/>
      <c r="R44" s="3"/>
      <c r="S44" s="3"/>
      <c r="T44" s="3"/>
      <c r="U44" s="3"/>
      <c r="V44" s="3"/>
      <c r="W44" s="3"/>
      <c r="X44" s="3"/>
      <c r="Y44" s="3"/>
      <c r="Z44" s="3"/>
      <c r="AA44" s="3"/>
      <c r="AB44" s="3"/>
    </row>
    <row r="45" spans="2:28" ht="15">
      <c r="B45" s="2" t="s">
        <v>299</v>
      </c>
      <c r="E45" s="1">
        <v>7.4</v>
      </c>
      <c r="I45" s="3"/>
      <c r="J45" s="3"/>
      <c r="K45" s="3"/>
      <c r="L45" s="3"/>
      <c r="M45" s="3"/>
      <c r="N45" s="3"/>
      <c r="O45" s="3"/>
      <c r="P45" s="3"/>
      <c r="Q45" s="3"/>
      <c r="R45" s="3"/>
      <c r="S45" s="3"/>
      <c r="T45" s="3"/>
      <c r="U45" s="3"/>
      <c r="V45" s="3"/>
      <c r="W45" s="3"/>
      <c r="X45" s="3"/>
      <c r="Y45" s="3"/>
      <c r="Z45" s="3"/>
      <c r="AA45" s="3"/>
      <c r="AB45" s="3"/>
    </row>
    <row r="46" spans="9:28" ht="14.25">
      <c r="I46" s="3"/>
      <c r="J46" s="3"/>
      <c r="K46" s="3"/>
      <c r="L46" s="3"/>
      <c r="M46" s="3"/>
      <c r="N46" s="3"/>
      <c r="O46" s="3"/>
      <c r="P46" s="3"/>
      <c r="Q46" s="3"/>
      <c r="R46" s="3"/>
      <c r="S46" s="3"/>
      <c r="T46" s="3"/>
      <c r="U46" s="3"/>
      <c r="V46" s="3"/>
      <c r="W46" s="3"/>
      <c r="X46" s="3"/>
      <c r="Y46" s="3"/>
      <c r="Z46" s="3"/>
      <c r="AA46" s="3"/>
      <c r="AB46" s="3"/>
    </row>
    <row r="47" spans="3:5" ht="14.25">
      <c r="C47" s="1">
        <v>89</v>
      </c>
      <c r="D47" s="1">
        <v>0.31</v>
      </c>
      <c r="E47" s="1">
        <v>3.7</v>
      </c>
    </row>
    <row r="48" ht="14.25">
      <c r="E48" s="1">
        <v>5.9</v>
      </c>
    </row>
    <row r="49" spans="2:5" ht="15">
      <c r="B49" s="2" t="s">
        <v>327</v>
      </c>
      <c r="E49" s="1">
        <v>11.1</v>
      </c>
    </row>
    <row r="50" ht="14.25">
      <c r="E50" s="1">
        <v>11.1</v>
      </c>
    </row>
    <row r="51" spans="3:5" ht="14.25">
      <c r="C51" s="1">
        <v>88</v>
      </c>
      <c r="D51" s="1">
        <v>0.33</v>
      </c>
      <c r="E51" s="1">
        <v>1</v>
      </c>
    </row>
    <row r="52" ht="14.25">
      <c r="E52" s="1">
        <v>2.5</v>
      </c>
    </row>
    <row r="53" spans="2:5" ht="15">
      <c r="B53" s="2" t="s">
        <v>252</v>
      </c>
      <c r="E53" s="1">
        <v>7.1</v>
      </c>
    </row>
    <row r="54" ht="14.25">
      <c r="E54" s="1">
        <v>7.1</v>
      </c>
    </row>
    <row r="55" spans="3:5" ht="14.25">
      <c r="C55" s="1">
        <v>87</v>
      </c>
      <c r="D55" s="1">
        <v>0.32</v>
      </c>
      <c r="E55" s="1">
        <v>1.5</v>
      </c>
    </row>
    <row r="56" ht="14.25">
      <c r="E56" s="1">
        <v>2.3</v>
      </c>
    </row>
    <row r="57" spans="2:5" ht="15">
      <c r="B57" s="2" t="s">
        <v>208</v>
      </c>
      <c r="E57" s="1">
        <v>7.9</v>
      </c>
    </row>
    <row r="58" ht="14.25">
      <c r="E58" s="1">
        <v>7.9</v>
      </c>
    </row>
    <row r="59" spans="3:5" ht="14.25">
      <c r="C59" s="1">
        <v>86</v>
      </c>
      <c r="D59" s="1">
        <v>0.33</v>
      </c>
      <c r="E59" s="1">
        <v>2</v>
      </c>
    </row>
    <row r="60" ht="14.25">
      <c r="E60" s="1">
        <v>3.5</v>
      </c>
    </row>
    <row r="61" spans="2:5" ht="15">
      <c r="B61" s="2" t="s">
        <v>253</v>
      </c>
      <c r="E61" s="1">
        <v>8.1</v>
      </c>
    </row>
    <row r="63" spans="3:5" ht="14.25">
      <c r="C63" s="1">
        <v>88</v>
      </c>
      <c r="D63" s="1">
        <v>0.34</v>
      </c>
      <c r="E63" s="1">
        <v>2.8</v>
      </c>
    </row>
    <row r="64" ht="14.25">
      <c r="E64" s="1">
        <v>4.9</v>
      </c>
    </row>
    <row r="65" spans="2:5" ht="15">
      <c r="B65" s="2" t="s">
        <v>254</v>
      </c>
      <c r="E65" s="1">
        <v>11</v>
      </c>
    </row>
    <row r="66" ht="14.25">
      <c r="E66" s="1">
        <v>11</v>
      </c>
    </row>
    <row r="67" spans="3:5" ht="14.25">
      <c r="C67" s="1">
        <v>87</v>
      </c>
      <c r="D67" s="1">
        <v>0.33</v>
      </c>
      <c r="E67" s="1">
        <v>2.8</v>
      </c>
    </row>
    <row r="68" ht="14.25">
      <c r="E68" s="1">
        <v>6.7</v>
      </c>
    </row>
    <row r="69" spans="2:5" ht="15">
      <c r="B69" s="2" t="s">
        <v>300</v>
      </c>
      <c r="E69" s="1">
        <v>7.6</v>
      </c>
    </row>
    <row r="70" ht="14.25">
      <c r="E70" s="1">
        <v>7.6</v>
      </c>
    </row>
    <row r="71" spans="3:5" ht="14.25">
      <c r="C71" s="1">
        <v>86</v>
      </c>
      <c r="D71" s="1">
        <v>0.32</v>
      </c>
      <c r="E71" s="1">
        <v>2.9</v>
      </c>
    </row>
    <row r="72" ht="14.25">
      <c r="E72" s="1">
        <v>6.6</v>
      </c>
    </row>
    <row r="73" spans="2:5" ht="15">
      <c r="B73" s="2" t="s">
        <v>255</v>
      </c>
      <c r="E73" s="1">
        <v>9.8</v>
      </c>
    </row>
    <row r="75" spans="3:5" ht="14.25">
      <c r="C75" s="1">
        <v>87</v>
      </c>
      <c r="D75" s="1">
        <v>0.31</v>
      </c>
      <c r="E75" s="1">
        <v>2.9</v>
      </c>
    </row>
    <row r="76" ht="14.25">
      <c r="E76" s="1">
        <v>6.4</v>
      </c>
    </row>
    <row r="77" spans="2:5" ht="15">
      <c r="B77" s="2" t="s">
        <v>329</v>
      </c>
      <c r="E77" s="1">
        <v>6.4</v>
      </c>
    </row>
    <row r="79" spans="3:5" ht="14.25">
      <c r="C79" s="1">
        <v>86</v>
      </c>
      <c r="D79" s="1">
        <v>0.3</v>
      </c>
      <c r="E79" s="1">
        <v>2.7</v>
      </c>
    </row>
    <row r="80" ht="14.25">
      <c r="E80" s="1">
        <v>6.2</v>
      </c>
    </row>
    <row r="81" ht="14.25">
      <c r="E81" s="1">
        <v>11.6</v>
      </c>
    </row>
    <row r="82" spans="1:5" ht="15">
      <c r="A82" s="2" t="s">
        <v>257</v>
      </c>
      <c r="B82" s="2" t="s">
        <v>256</v>
      </c>
      <c r="E82" s="1">
        <v>11.6</v>
      </c>
    </row>
    <row r="83" spans="3:5" ht="14.25">
      <c r="C83" s="1">
        <v>87</v>
      </c>
      <c r="D83" s="1">
        <v>0.33</v>
      </c>
      <c r="E83" s="1">
        <v>2.2</v>
      </c>
    </row>
    <row r="84" ht="14.25">
      <c r="E84" s="1">
        <v>7.3</v>
      </c>
    </row>
    <row r="85" ht="14.25">
      <c r="E85" s="1">
        <v>10</v>
      </c>
    </row>
    <row r="86" spans="2:5" ht="15">
      <c r="B86" s="2" t="s">
        <v>320</v>
      </c>
      <c r="E86" s="1">
        <v>10</v>
      </c>
    </row>
    <row r="87" spans="3:5" ht="14.25">
      <c r="C87" s="1">
        <v>88</v>
      </c>
      <c r="D87" s="1">
        <v>0.31</v>
      </c>
      <c r="E87" s="1">
        <v>2.7</v>
      </c>
    </row>
    <row r="88" ht="14.25">
      <c r="E88" s="1">
        <v>8</v>
      </c>
    </row>
    <row r="89" ht="14.25">
      <c r="E89" s="1">
        <v>10</v>
      </c>
    </row>
    <row r="90" spans="2:5" ht="15">
      <c r="B90" s="2" t="s">
        <v>258</v>
      </c>
      <c r="E90" s="1">
        <v>10</v>
      </c>
    </row>
    <row r="91" spans="3:5" ht="14.25">
      <c r="C91" s="1">
        <v>86</v>
      </c>
      <c r="D91" s="1">
        <v>0.33</v>
      </c>
      <c r="E91" s="1">
        <v>2.6</v>
      </c>
    </row>
    <row r="92" ht="14.25">
      <c r="E92" s="1">
        <v>8.4</v>
      </c>
    </row>
    <row r="93" ht="14.25">
      <c r="E93" s="1">
        <v>9.2</v>
      </c>
    </row>
    <row r="94" ht="15">
      <c r="B94" s="2" t="s">
        <v>302</v>
      </c>
    </row>
    <row r="95" spans="3:5" ht="14.25">
      <c r="C95" s="1">
        <v>87</v>
      </c>
      <c r="D95" s="1">
        <v>0.32</v>
      </c>
      <c r="E95" s="1">
        <v>2.5</v>
      </c>
    </row>
    <row r="96" ht="14.25">
      <c r="E96" s="1">
        <v>6.5</v>
      </c>
    </row>
    <row r="97" ht="14.25">
      <c r="E97" s="1">
        <v>12.7</v>
      </c>
    </row>
    <row r="98" spans="2:5" ht="15">
      <c r="B98" s="2" t="s">
        <v>259</v>
      </c>
      <c r="E98" s="1">
        <v>12.7</v>
      </c>
    </row>
    <row r="99" spans="3:5" ht="14.25">
      <c r="C99" s="1">
        <v>86</v>
      </c>
      <c r="D99" s="1">
        <v>0.31</v>
      </c>
      <c r="E99" s="1">
        <v>2.7</v>
      </c>
    </row>
    <row r="100" ht="14.25">
      <c r="E100" s="1">
        <v>8</v>
      </c>
    </row>
    <row r="101" ht="14.25">
      <c r="E101" s="1">
        <v>8</v>
      </c>
    </row>
    <row r="102" ht="15">
      <c r="B102" s="2" t="s">
        <v>303</v>
      </c>
    </row>
    <row r="103" spans="3:5" ht="14.25">
      <c r="C103" s="1">
        <v>88</v>
      </c>
      <c r="D103" s="1">
        <v>0.32</v>
      </c>
      <c r="E103" s="1">
        <v>2.6</v>
      </c>
    </row>
    <row r="104" ht="14.25">
      <c r="E104" s="1">
        <v>5.1</v>
      </c>
    </row>
    <row r="105" ht="14.25">
      <c r="E105" s="1">
        <v>13</v>
      </c>
    </row>
    <row r="106" spans="2:5" ht="15">
      <c r="B106" s="2" t="s">
        <v>320</v>
      </c>
      <c r="E106" s="1">
        <v>13</v>
      </c>
    </row>
    <row r="107" spans="3:5" ht="14.25">
      <c r="C107" s="1">
        <v>88</v>
      </c>
      <c r="D107" s="1">
        <v>0.33</v>
      </c>
      <c r="E107" s="1">
        <v>2.4</v>
      </c>
    </row>
    <row r="108" ht="14.25">
      <c r="E108" s="1">
        <v>7.2</v>
      </c>
    </row>
    <row r="109" ht="14.25">
      <c r="E109" s="1">
        <v>7.2</v>
      </c>
    </row>
    <row r="110" ht="15">
      <c r="B110" s="2" t="s">
        <v>331</v>
      </c>
    </row>
    <row r="111" spans="3:5" ht="14.25">
      <c r="C111" s="1">
        <v>86</v>
      </c>
      <c r="D111" s="1">
        <v>0.34</v>
      </c>
      <c r="E111" s="1">
        <v>2.7</v>
      </c>
    </row>
    <row r="112" ht="14.25">
      <c r="E112" s="1">
        <v>8.9</v>
      </c>
    </row>
    <row r="113" ht="14.25">
      <c r="E113" s="1">
        <v>11.5</v>
      </c>
    </row>
    <row r="114" spans="2:5" ht="15">
      <c r="B114" s="2" t="s">
        <v>320</v>
      </c>
      <c r="E114" s="1">
        <v>11.5</v>
      </c>
    </row>
    <row r="115" spans="3:5" ht="14.25">
      <c r="C115" s="1">
        <v>86</v>
      </c>
      <c r="D115" s="1">
        <v>0.33</v>
      </c>
      <c r="E115" s="1">
        <v>2.5</v>
      </c>
    </row>
    <row r="116" ht="14.25">
      <c r="E116" s="1">
        <v>7.2</v>
      </c>
    </row>
    <row r="117" ht="14.25">
      <c r="E117" s="1">
        <v>13.6</v>
      </c>
    </row>
    <row r="118" spans="2:5" ht="15">
      <c r="B118" s="2" t="s">
        <v>260</v>
      </c>
      <c r="E118" s="1">
        <v>13.6</v>
      </c>
    </row>
    <row r="121" spans="3:5" ht="14.25">
      <c r="C121" s="1">
        <v>88</v>
      </c>
      <c r="D121" s="1">
        <v>0.31</v>
      </c>
      <c r="E121" s="1">
        <v>2.7</v>
      </c>
    </row>
    <row r="122" ht="14.25">
      <c r="E122" s="1">
        <v>5.2</v>
      </c>
    </row>
    <row r="123" spans="1:5" ht="15">
      <c r="A123" s="2" t="s">
        <v>266</v>
      </c>
      <c r="B123" s="2" t="s">
        <v>261</v>
      </c>
      <c r="E123" s="1">
        <v>9.4</v>
      </c>
    </row>
    <row r="124" ht="14.25">
      <c r="E124" s="1">
        <v>10.1</v>
      </c>
    </row>
    <row r="125" spans="3:5" ht="14.25">
      <c r="C125" s="1">
        <v>85</v>
      </c>
      <c r="D125" s="1">
        <v>0.32</v>
      </c>
      <c r="E125" s="1">
        <v>1.2</v>
      </c>
    </row>
    <row r="126" ht="14.25">
      <c r="E126" s="1">
        <v>3.7</v>
      </c>
    </row>
    <row r="127" spans="2:5" ht="15">
      <c r="B127" s="2" t="s">
        <v>304</v>
      </c>
      <c r="E127" s="1">
        <v>11.2</v>
      </c>
    </row>
    <row r="129" spans="3:5" ht="14.25">
      <c r="C129" s="1">
        <v>86</v>
      </c>
      <c r="D129" s="1">
        <v>0.33</v>
      </c>
      <c r="E129" s="1">
        <v>2.5</v>
      </c>
    </row>
    <row r="130" ht="14.25">
      <c r="E130" s="1">
        <v>5.4</v>
      </c>
    </row>
    <row r="131" spans="1:5" ht="15">
      <c r="A131" s="2" t="s">
        <v>267</v>
      </c>
      <c r="B131" s="2" t="s">
        <v>305</v>
      </c>
      <c r="E131" s="1">
        <v>11.6</v>
      </c>
    </row>
    <row r="132" spans="1:5" ht="15">
      <c r="A132" s="30" t="s">
        <v>106</v>
      </c>
      <c r="B132" s="30"/>
      <c r="E132" s="1">
        <v>11.6</v>
      </c>
    </row>
    <row r="133" spans="1:5" ht="15">
      <c r="A133" s="30" t="s">
        <v>107</v>
      </c>
      <c r="B133" s="30"/>
      <c r="C133" s="1">
        <v>87</v>
      </c>
      <c r="D133" s="1">
        <v>0.3</v>
      </c>
      <c r="E133" s="1">
        <v>2.4</v>
      </c>
    </row>
    <row r="134" ht="14.25">
      <c r="E134" s="1">
        <v>7.8</v>
      </c>
    </row>
    <row r="135" spans="2:5" ht="15">
      <c r="B135" s="2" t="s">
        <v>306</v>
      </c>
      <c r="E135" s="1">
        <v>7.8</v>
      </c>
    </row>
    <row r="136" spans="1:5" ht="15">
      <c r="A136" s="30" t="s">
        <v>108</v>
      </c>
      <c r="B136" s="30"/>
      <c r="C136" s="1">
        <v>88</v>
      </c>
      <c r="D136" s="1">
        <v>0.31</v>
      </c>
      <c r="E136" s="1">
        <v>2.3</v>
      </c>
    </row>
    <row r="137" spans="1:5" ht="15">
      <c r="A137" s="30" t="s">
        <v>107</v>
      </c>
      <c r="B137" s="30"/>
      <c r="E137" s="1">
        <v>6.2</v>
      </c>
    </row>
    <row r="138" ht="14.25">
      <c r="E138" s="1">
        <v>11.2</v>
      </c>
    </row>
    <row r="139" spans="2:5" ht="15">
      <c r="B139" s="2" t="s">
        <v>262</v>
      </c>
      <c r="E139" s="1">
        <v>11.2</v>
      </c>
    </row>
    <row r="140" spans="1:5" ht="15">
      <c r="A140" s="30" t="s">
        <v>109</v>
      </c>
      <c r="B140" s="30"/>
      <c r="C140" s="1">
        <v>86</v>
      </c>
      <c r="D140" s="1">
        <v>0.31</v>
      </c>
      <c r="E140" s="1">
        <v>3.4</v>
      </c>
    </row>
    <row r="141" spans="1:5" ht="15">
      <c r="A141" s="30" t="s">
        <v>110</v>
      </c>
      <c r="B141" s="30"/>
      <c r="E141" s="1">
        <v>9.8</v>
      </c>
    </row>
    <row r="143" spans="2:5" ht="15">
      <c r="B143" s="2" t="s">
        <v>330</v>
      </c>
      <c r="C143" s="1">
        <v>87</v>
      </c>
      <c r="D143" s="1">
        <v>0.32</v>
      </c>
      <c r="E143" s="1">
        <v>1.2</v>
      </c>
    </row>
    <row r="144" spans="1:5" ht="15">
      <c r="A144" s="30" t="s">
        <v>111</v>
      </c>
      <c r="B144" s="30"/>
      <c r="E144" s="1">
        <v>2.5</v>
      </c>
    </row>
    <row r="145" spans="1:5" ht="15">
      <c r="A145" s="30" t="s">
        <v>112</v>
      </c>
      <c r="B145" s="30"/>
      <c r="E145" s="1">
        <v>7</v>
      </c>
    </row>
    <row r="146" ht="14.25">
      <c r="E146" s="1">
        <v>7</v>
      </c>
    </row>
    <row r="147" ht="0.75" customHeight="1">
      <c r="B147" s="1" t="s">
        <v>113</v>
      </c>
    </row>
    <row r="148" spans="1:5" ht="15">
      <c r="A148" s="30" t="s">
        <v>114</v>
      </c>
      <c r="B148" s="30"/>
      <c r="C148" s="1">
        <v>88</v>
      </c>
      <c r="D148" s="1">
        <v>0.3</v>
      </c>
      <c r="E148" s="1">
        <v>1.9</v>
      </c>
    </row>
    <row r="149" spans="1:5" ht="15">
      <c r="A149" s="30" t="s">
        <v>115</v>
      </c>
      <c r="B149" s="30"/>
      <c r="E149" s="1">
        <v>6.4</v>
      </c>
    </row>
    <row r="150" ht="14.25">
      <c r="E150" s="1">
        <v>6.4</v>
      </c>
    </row>
    <row r="151" spans="2:5" ht="14.25">
      <c r="B151" s="1">
        <v>6</v>
      </c>
      <c r="E151" s="1">
        <v>6.4</v>
      </c>
    </row>
    <row r="152" spans="2:5" ht="15">
      <c r="B152" s="2" t="s">
        <v>263</v>
      </c>
      <c r="C152" s="1">
        <v>86</v>
      </c>
      <c r="D152" s="1">
        <v>0.33</v>
      </c>
      <c r="E152" s="1">
        <v>0.5</v>
      </c>
    </row>
    <row r="153" spans="1:5" ht="15">
      <c r="A153" s="30" t="s">
        <v>116</v>
      </c>
      <c r="B153" s="30"/>
      <c r="E153" s="1">
        <v>3</v>
      </c>
    </row>
    <row r="154" spans="1:5" ht="15">
      <c r="A154" s="30" t="s">
        <v>117</v>
      </c>
      <c r="B154" s="30"/>
      <c r="E154" s="1">
        <v>7.2</v>
      </c>
    </row>
    <row r="156" spans="2:5" ht="15">
      <c r="B156" s="2" t="s">
        <v>332</v>
      </c>
      <c r="C156" s="1">
        <v>85</v>
      </c>
      <c r="D156" s="1">
        <v>0.31</v>
      </c>
      <c r="E156" s="1">
        <v>2</v>
      </c>
    </row>
    <row r="157" spans="1:5" ht="15">
      <c r="A157" s="30" t="s">
        <v>118</v>
      </c>
      <c r="B157" s="30"/>
      <c r="E157" s="1">
        <v>5.8</v>
      </c>
    </row>
    <row r="158" spans="1:5" ht="15">
      <c r="A158" s="30" t="s">
        <v>117</v>
      </c>
      <c r="B158" s="30"/>
      <c r="E158" s="1">
        <v>5.8</v>
      </c>
    </row>
    <row r="159" spans="3:5" ht="14.25">
      <c r="C159" s="1">
        <v>88</v>
      </c>
      <c r="D159" s="1">
        <v>0.32</v>
      </c>
      <c r="E159" s="1">
        <v>0.5</v>
      </c>
    </row>
    <row r="160" spans="2:5" ht="15">
      <c r="B160" s="2" t="s">
        <v>322</v>
      </c>
      <c r="E160" s="1">
        <v>2</v>
      </c>
    </row>
    <row r="161" spans="1:5" ht="15">
      <c r="A161" s="30" t="s">
        <v>114</v>
      </c>
      <c r="B161" s="30"/>
      <c r="E161" s="1">
        <v>5.6</v>
      </c>
    </row>
    <row r="162" spans="1:5" ht="15">
      <c r="A162" s="30" t="s">
        <v>117</v>
      </c>
      <c r="B162" s="30"/>
      <c r="E162" s="1">
        <v>5.6</v>
      </c>
    </row>
    <row r="163" spans="3:5" ht="14.25">
      <c r="C163" s="1">
        <v>87</v>
      </c>
      <c r="D163" s="1">
        <v>0.33</v>
      </c>
      <c r="E163" s="1">
        <v>0.1</v>
      </c>
    </row>
    <row r="164" spans="2:35" ht="15">
      <c r="B164" s="2" t="s">
        <v>333</v>
      </c>
      <c r="E164" s="1">
        <v>3.1</v>
      </c>
      <c r="AF164" s="7"/>
      <c r="AG164" s="7"/>
      <c r="AH164" s="7"/>
      <c r="AI164" s="3"/>
    </row>
    <row r="165" spans="1:35" ht="15">
      <c r="A165" s="30" t="s">
        <v>119</v>
      </c>
      <c r="B165" s="30"/>
      <c r="E165" s="1">
        <v>7.9</v>
      </c>
      <c r="AF165" s="7"/>
      <c r="AG165" s="7"/>
      <c r="AH165" s="7"/>
      <c r="AI165" s="3"/>
    </row>
    <row r="166" spans="1:35" ht="15">
      <c r="A166" s="30" t="s">
        <v>120</v>
      </c>
      <c r="B166" s="30"/>
      <c r="E166" s="1">
        <v>7.9</v>
      </c>
      <c r="AF166" s="7"/>
      <c r="AG166" s="7"/>
      <c r="AH166" s="7"/>
      <c r="AI166" s="3"/>
    </row>
    <row r="167" spans="32:35" ht="14.25">
      <c r="AF167" s="7"/>
      <c r="AG167" s="7"/>
      <c r="AH167" s="7"/>
      <c r="AI167" s="3"/>
    </row>
    <row r="168" spans="2:35" ht="15">
      <c r="B168" s="2" t="s">
        <v>264</v>
      </c>
      <c r="C168" s="1">
        <v>86</v>
      </c>
      <c r="D168" s="1">
        <v>0.3</v>
      </c>
      <c r="E168" s="1">
        <v>0.6</v>
      </c>
      <c r="AF168" s="7"/>
      <c r="AG168" s="7"/>
      <c r="AH168" s="7"/>
      <c r="AI168" s="3"/>
    </row>
    <row r="169" spans="1:35" ht="15">
      <c r="A169" s="30" t="s">
        <v>121</v>
      </c>
      <c r="B169" s="30"/>
      <c r="E169" s="1">
        <v>2.8</v>
      </c>
      <c r="AF169" s="7"/>
      <c r="AG169" s="7"/>
      <c r="AH169" s="7"/>
      <c r="AI169" s="3"/>
    </row>
    <row r="170" spans="1:35" ht="15">
      <c r="A170" s="30" t="s">
        <v>115</v>
      </c>
      <c r="B170" s="30"/>
      <c r="E170" s="1">
        <v>6.5</v>
      </c>
      <c r="AF170" s="7"/>
      <c r="AG170" s="7"/>
      <c r="AH170" s="7"/>
      <c r="AI170" s="3"/>
    </row>
    <row r="171" spans="5:35" ht="14.25">
      <c r="E171" s="1">
        <v>6.5</v>
      </c>
      <c r="AF171" s="7"/>
      <c r="AG171" s="7"/>
      <c r="AH171" s="7"/>
      <c r="AI171" s="3"/>
    </row>
    <row r="172" spans="1:35" ht="15">
      <c r="A172" s="2" t="s">
        <v>250</v>
      </c>
      <c r="B172" s="2" t="s">
        <v>323</v>
      </c>
      <c r="C172" s="1">
        <v>86</v>
      </c>
      <c r="D172" s="1">
        <v>0.3</v>
      </c>
      <c r="E172" s="1">
        <v>0.2</v>
      </c>
      <c r="AF172" s="7"/>
      <c r="AG172" s="7"/>
      <c r="AH172" s="7"/>
      <c r="AI172" s="3"/>
    </row>
    <row r="173" spans="1:35" ht="15">
      <c r="A173" s="30" t="s">
        <v>122</v>
      </c>
      <c r="B173" s="30"/>
      <c r="E173" s="1">
        <v>2.5</v>
      </c>
      <c r="AF173" s="7"/>
      <c r="AG173" s="7"/>
      <c r="AH173" s="7"/>
      <c r="AI173" s="3"/>
    </row>
    <row r="174" spans="1:35" ht="15">
      <c r="A174" s="30" t="s">
        <v>123</v>
      </c>
      <c r="B174" s="30"/>
      <c r="E174" s="1">
        <v>5</v>
      </c>
      <c r="AF174" s="7"/>
      <c r="AG174" s="7"/>
      <c r="AH174" s="7"/>
      <c r="AI174" s="3"/>
    </row>
    <row r="175" spans="5:35" ht="14.25">
      <c r="E175" s="1">
        <v>5</v>
      </c>
      <c r="AF175" s="7"/>
      <c r="AG175" s="7"/>
      <c r="AH175" s="7"/>
      <c r="AI175" s="3"/>
    </row>
    <row r="176" spans="2:35" ht="15">
      <c r="B176" s="2" t="s">
        <v>324</v>
      </c>
      <c r="C176" s="1">
        <v>88</v>
      </c>
      <c r="D176" s="1">
        <v>0.31</v>
      </c>
      <c r="E176" s="1">
        <v>0.7</v>
      </c>
      <c r="AF176" s="7"/>
      <c r="AG176" s="7"/>
      <c r="AH176" s="7"/>
      <c r="AI176" s="3"/>
    </row>
    <row r="177" spans="1:35" ht="15">
      <c r="A177" s="30" t="s">
        <v>124</v>
      </c>
      <c r="B177" s="30"/>
      <c r="E177" s="1">
        <v>2.2</v>
      </c>
      <c r="AF177" s="7"/>
      <c r="AG177" s="7"/>
      <c r="AH177" s="7"/>
      <c r="AI177" s="3"/>
    </row>
    <row r="178" spans="1:35" ht="15">
      <c r="A178" s="30" t="s">
        <v>125</v>
      </c>
      <c r="B178" s="30"/>
      <c r="E178" s="1">
        <v>4.7</v>
      </c>
      <c r="AF178" s="7"/>
      <c r="AG178" s="7"/>
      <c r="AH178" s="7"/>
      <c r="AI178" s="3"/>
    </row>
    <row r="179" spans="5:35" ht="14.25">
      <c r="E179" s="1">
        <v>4.7</v>
      </c>
      <c r="AF179" s="7"/>
      <c r="AG179" s="7"/>
      <c r="AH179" s="7"/>
      <c r="AI179" s="3"/>
    </row>
    <row r="180" spans="2:35" ht="15">
      <c r="B180" s="2" t="s">
        <v>265</v>
      </c>
      <c r="C180" s="1">
        <v>87</v>
      </c>
      <c r="D180" s="1">
        <v>0.3</v>
      </c>
      <c r="E180" s="1">
        <v>0.5</v>
      </c>
      <c r="AF180" s="7"/>
      <c r="AG180" s="7"/>
      <c r="AH180" s="7"/>
      <c r="AI180" s="3"/>
    </row>
    <row r="181" spans="1:35" ht="15">
      <c r="A181" s="30" t="s">
        <v>126</v>
      </c>
      <c r="B181" s="30"/>
      <c r="E181" s="1">
        <v>3.9</v>
      </c>
      <c r="AF181" s="7"/>
      <c r="AG181" s="7"/>
      <c r="AH181" s="7"/>
      <c r="AI181" s="3"/>
    </row>
    <row r="182" spans="1:35" ht="15">
      <c r="A182" s="30" t="s">
        <v>127</v>
      </c>
      <c r="B182" s="30"/>
      <c r="E182" s="1">
        <v>6.8</v>
      </c>
      <c r="AF182" s="13"/>
      <c r="AG182" s="13"/>
      <c r="AH182" s="13"/>
      <c r="AI182" s="13"/>
    </row>
    <row r="183" spans="32:35" ht="14.25">
      <c r="AF183" s="7"/>
      <c r="AG183" s="7"/>
      <c r="AH183" s="7"/>
      <c r="AI183" s="3"/>
    </row>
    <row r="184" spans="2:35" ht="15">
      <c r="B184" s="2" t="s">
        <v>307</v>
      </c>
      <c r="C184" s="1">
        <v>86</v>
      </c>
      <c r="D184" s="1">
        <v>0.34</v>
      </c>
      <c r="E184" s="1">
        <v>0.7</v>
      </c>
      <c r="AF184" s="7"/>
      <c r="AG184" s="7"/>
      <c r="AH184" s="7"/>
      <c r="AI184" s="3"/>
    </row>
    <row r="185" spans="1:5" ht="15">
      <c r="A185" s="30" t="s">
        <v>126</v>
      </c>
      <c r="B185" s="30"/>
      <c r="E185" s="1">
        <v>2.2</v>
      </c>
    </row>
    <row r="186" spans="1:5" ht="15">
      <c r="A186" s="30" t="s">
        <v>107</v>
      </c>
      <c r="B186" s="30"/>
      <c r="E186" s="1">
        <v>5.8</v>
      </c>
    </row>
    <row r="187" ht="14.25">
      <c r="E187" s="1">
        <v>5.8</v>
      </c>
    </row>
    <row r="188" spans="2:5" ht="15">
      <c r="B188" s="2" t="s">
        <v>308</v>
      </c>
      <c r="C188" s="1">
        <v>88</v>
      </c>
      <c r="D188" s="1">
        <v>0.34</v>
      </c>
      <c r="E188" s="1">
        <v>2.5</v>
      </c>
    </row>
    <row r="189" spans="1:5" ht="15">
      <c r="A189" s="30" t="s">
        <v>128</v>
      </c>
      <c r="B189" s="30"/>
      <c r="E189" s="1">
        <v>4.3</v>
      </c>
    </row>
    <row r="190" spans="1:5" ht="15">
      <c r="A190" s="30" t="s">
        <v>107</v>
      </c>
      <c r="B190" s="30"/>
      <c r="E190" s="1">
        <v>9.4</v>
      </c>
    </row>
    <row r="191" ht="14.25">
      <c r="E191" s="1">
        <v>9.4</v>
      </c>
    </row>
    <row r="192" ht="15">
      <c r="B192" s="2" t="s">
        <v>334</v>
      </c>
    </row>
    <row r="193" spans="1:2" ht="15">
      <c r="A193" s="30" t="s">
        <v>129</v>
      </c>
      <c r="B193" s="30"/>
    </row>
    <row r="194" spans="1:2" ht="15">
      <c r="A194" s="30" t="s">
        <v>123</v>
      </c>
      <c r="B194" s="30"/>
    </row>
  </sheetData>
  <mergeCells count="32">
    <mergeCell ref="A193:B193"/>
    <mergeCell ref="A194:B194"/>
    <mergeCell ref="A136:B136"/>
    <mergeCell ref="A140:B140"/>
    <mergeCell ref="A148:B148"/>
    <mergeCell ref="A162:B162"/>
    <mergeCell ref="A144:B144"/>
    <mergeCell ref="A145:B145"/>
    <mergeCell ref="A149:B149"/>
    <mergeCell ref="A153:B153"/>
    <mergeCell ref="A132:B132"/>
    <mergeCell ref="A133:B133"/>
    <mergeCell ref="A137:B137"/>
    <mergeCell ref="A141:B141"/>
    <mergeCell ref="A154:B154"/>
    <mergeCell ref="A157:B157"/>
    <mergeCell ref="A158:B158"/>
    <mergeCell ref="A161:B161"/>
    <mergeCell ref="A165:B165"/>
    <mergeCell ref="A169:B169"/>
    <mergeCell ref="A170:B170"/>
    <mergeCell ref="A166:B166"/>
    <mergeCell ref="A173:B173"/>
    <mergeCell ref="A174:B174"/>
    <mergeCell ref="A177:B177"/>
    <mergeCell ref="A178:B178"/>
    <mergeCell ref="A189:B189"/>
    <mergeCell ref="A190:B190"/>
    <mergeCell ref="A181:B181"/>
    <mergeCell ref="A182:B182"/>
    <mergeCell ref="A185:B185"/>
    <mergeCell ref="A186:B18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179"/>
  <sheetViews>
    <sheetView workbookViewId="0" topLeftCell="A1">
      <pane xSplit="5" ySplit="1" topLeftCell="F73" activePane="bottomRight" state="frozen"/>
      <selection pane="topLeft" activeCell="A1" sqref="A1"/>
      <selection pane="topRight" activeCell="D1" sqref="D1"/>
      <selection pane="bottomLeft" activeCell="A2" sqref="A2"/>
      <selection pane="bottomRight" activeCell="B80" sqref="B80"/>
    </sheetView>
  </sheetViews>
  <sheetFormatPr defaultColWidth="9.00390625" defaultRowHeight="14.25"/>
  <cols>
    <col min="1" max="2" width="6.50390625" style="1" customWidth="1"/>
    <col min="3" max="3" width="4.625" style="1" customWidth="1"/>
    <col min="4" max="4" width="5.625" style="1" customWidth="1"/>
    <col min="5" max="5" width="4.875" style="1" customWidth="1"/>
    <col min="6" max="8" width="4.875" style="3" customWidth="1"/>
    <col min="9" max="9" width="7.75390625" style="3" customWidth="1"/>
    <col min="10" max="10" width="4.875" style="3" customWidth="1"/>
    <col min="11" max="11" width="17.75390625" style="3" customWidth="1"/>
    <col min="12" max="12" width="4.875" style="3" customWidth="1"/>
    <col min="13" max="13" width="5.625" style="3" customWidth="1"/>
    <col min="14" max="14" width="6.50390625" style="3" customWidth="1"/>
    <col min="15" max="16384" width="4.875" style="3" customWidth="1"/>
  </cols>
  <sheetData>
    <row r="1" spans="1:6" ht="24">
      <c r="A1" s="18" t="s">
        <v>195</v>
      </c>
      <c r="B1" s="22" t="s">
        <v>196</v>
      </c>
      <c r="C1" s="19" t="s">
        <v>197</v>
      </c>
      <c r="D1" s="19" t="s">
        <v>199</v>
      </c>
      <c r="E1" s="19" t="s">
        <v>268</v>
      </c>
      <c r="F1" s="2" t="s">
        <v>198</v>
      </c>
    </row>
    <row r="2" spans="3:6" ht="11.25">
      <c r="C2" s="1">
        <v>84</v>
      </c>
      <c r="D2" s="1">
        <v>0.39</v>
      </c>
      <c r="E2" s="1">
        <v>1</v>
      </c>
      <c r="F2" s="3">
        <v>2.7</v>
      </c>
    </row>
    <row r="3" spans="1:32" ht="12">
      <c r="A3" s="2" t="s">
        <v>270</v>
      </c>
      <c r="B3" s="2" t="s">
        <v>301</v>
      </c>
      <c r="E3" s="1">
        <v>2</v>
      </c>
      <c r="F3" s="3">
        <v>5.2</v>
      </c>
      <c r="H3" s="1"/>
      <c r="I3" s="1"/>
      <c r="J3" s="1"/>
      <c r="K3" s="1"/>
      <c r="L3" s="1"/>
      <c r="M3" s="1"/>
      <c r="N3" s="1"/>
      <c r="O3" s="1"/>
      <c r="P3" s="1"/>
      <c r="Q3" s="1"/>
      <c r="R3" s="1"/>
      <c r="S3" s="1"/>
      <c r="T3" s="1"/>
      <c r="U3" s="1"/>
      <c r="V3" s="1"/>
      <c r="W3" s="1"/>
      <c r="X3" s="1"/>
      <c r="Y3" s="1"/>
      <c r="Z3" s="1"/>
      <c r="AA3" s="1"/>
      <c r="AB3" s="1"/>
      <c r="AC3" s="1"/>
      <c r="AD3" s="1"/>
      <c r="AE3" s="1"/>
      <c r="AF3" s="1"/>
    </row>
    <row r="4" spans="1:32" ht="11.25">
      <c r="A4" s="1" t="s">
        <v>269</v>
      </c>
      <c r="E4" s="1">
        <v>3</v>
      </c>
      <c r="F4" s="3">
        <v>9.7</v>
      </c>
      <c r="H4" s="7"/>
      <c r="I4" s="7"/>
      <c r="J4" s="7"/>
      <c r="K4" s="7"/>
      <c r="L4" s="7"/>
      <c r="M4" s="7"/>
      <c r="N4" s="7"/>
      <c r="O4" s="7"/>
      <c r="P4" s="7"/>
      <c r="Q4" s="7"/>
      <c r="R4" s="7"/>
      <c r="S4" s="7"/>
      <c r="T4" s="7"/>
      <c r="U4" s="7"/>
      <c r="V4" s="7"/>
      <c r="W4" s="7"/>
      <c r="X4" s="7"/>
      <c r="Y4" s="7"/>
      <c r="Z4" s="7"/>
      <c r="AA4" s="7"/>
      <c r="AB4" s="7"/>
      <c r="AC4" s="7"/>
      <c r="AD4" s="7"/>
      <c r="AE4" s="7"/>
      <c r="AF4" s="7"/>
    </row>
    <row r="5" spans="5:32" ht="11.25">
      <c r="E5" s="1">
        <v>4</v>
      </c>
      <c r="F5" s="3">
        <v>9.7</v>
      </c>
      <c r="H5" s="7"/>
      <c r="I5" s="7"/>
      <c r="J5" s="7"/>
      <c r="K5" s="7"/>
      <c r="L5" s="7"/>
      <c r="M5" s="7"/>
      <c r="N5" s="7"/>
      <c r="O5" s="7"/>
      <c r="P5" s="7"/>
      <c r="Q5" s="7"/>
      <c r="R5" s="7"/>
      <c r="S5" s="7"/>
      <c r="T5" s="7"/>
      <c r="U5" s="7"/>
      <c r="V5" s="7"/>
      <c r="W5" s="7"/>
      <c r="X5" s="7"/>
      <c r="Y5" s="7"/>
      <c r="Z5" s="7"/>
      <c r="AA5" s="7"/>
      <c r="AB5" s="7"/>
      <c r="AC5" s="7"/>
      <c r="AD5" s="7"/>
      <c r="AE5" s="7"/>
      <c r="AF5" s="7"/>
    </row>
    <row r="6" spans="3:32" ht="11.25">
      <c r="C6" s="1">
        <v>83</v>
      </c>
      <c r="D6" s="1">
        <v>0.4</v>
      </c>
      <c r="E6" s="1">
        <v>1</v>
      </c>
      <c r="F6" s="3">
        <v>3.7</v>
      </c>
      <c r="H6" s="7"/>
      <c r="I6" s="7" t="s">
        <v>74</v>
      </c>
      <c r="J6" s="7">
        <v>9210</v>
      </c>
      <c r="K6" s="7"/>
      <c r="L6" s="7"/>
      <c r="M6" s="7"/>
      <c r="N6" s="7"/>
      <c r="O6" s="7"/>
      <c r="P6" s="7"/>
      <c r="Q6" s="7"/>
      <c r="R6" s="7"/>
      <c r="S6" s="7"/>
      <c r="T6" s="7"/>
      <c r="U6" s="7"/>
      <c r="V6" s="7"/>
      <c r="W6" s="7"/>
      <c r="X6" s="7"/>
      <c r="Y6" s="7"/>
      <c r="Z6" s="7"/>
      <c r="AA6" s="7"/>
      <c r="AB6" s="7"/>
      <c r="AC6" s="7"/>
      <c r="AD6" s="7"/>
      <c r="AE6" s="7"/>
      <c r="AF6" s="7"/>
    </row>
    <row r="7" spans="2:32" ht="12">
      <c r="B7" s="2" t="s">
        <v>298</v>
      </c>
      <c r="E7" s="1">
        <v>2</v>
      </c>
      <c r="F7" s="3">
        <v>8</v>
      </c>
      <c r="H7" s="7"/>
      <c r="I7" s="7"/>
      <c r="J7" s="7"/>
      <c r="K7" s="7"/>
      <c r="L7" s="7"/>
      <c r="M7" s="7"/>
      <c r="N7" s="7"/>
      <c r="O7" s="7"/>
      <c r="P7" s="7"/>
      <c r="Q7" s="7"/>
      <c r="R7" s="7"/>
      <c r="S7" s="7"/>
      <c r="T7" s="7"/>
      <c r="U7" s="7"/>
      <c r="V7" s="7"/>
      <c r="W7" s="7"/>
      <c r="X7" s="7"/>
      <c r="Y7" s="7"/>
      <c r="Z7" s="7"/>
      <c r="AA7" s="7"/>
      <c r="AB7" s="7"/>
      <c r="AC7" s="7"/>
      <c r="AD7" s="7"/>
      <c r="AE7" s="7"/>
      <c r="AF7" s="7"/>
    </row>
    <row r="8" spans="5:32" ht="11.25">
      <c r="E8" s="1">
        <v>3</v>
      </c>
      <c r="F8" s="3">
        <v>12.3</v>
      </c>
      <c r="H8" s="7"/>
      <c r="I8" s="7" t="s">
        <v>42</v>
      </c>
      <c r="J8" s="7" t="s">
        <v>43</v>
      </c>
      <c r="K8" s="7" t="s">
        <v>44</v>
      </c>
      <c r="L8" s="7" t="s">
        <v>45</v>
      </c>
      <c r="M8" s="7"/>
      <c r="N8" s="7"/>
      <c r="O8" s="7"/>
      <c r="P8" s="7"/>
      <c r="Q8" s="7"/>
      <c r="R8" s="7"/>
      <c r="S8" s="7"/>
      <c r="T8" s="7"/>
      <c r="U8" s="7"/>
      <c r="V8" s="7"/>
      <c r="W8" s="7"/>
      <c r="X8" s="7"/>
      <c r="Y8" s="7"/>
      <c r="Z8" s="7"/>
      <c r="AA8" s="7"/>
      <c r="AB8" s="7"/>
      <c r="AC8" s="7"/>
      <c r="AD8" s="7"/>
      <c r="AE8" s="7"/>
      <c r="AF8" s="7"/>
    </row>
    <row r="9" spans="5:32" ht="12">
      <c r="E9" s="1">
        <v>4</v>
      </c>
      <c r="F9" s="3">
        <v>12.3</v>
      </c>
      <c r="H9" s="7"/>
      <c r="I9" s="7"/>
      <c r="J9" s="7"/>
      <c r="K9" s="7"/>
      <c r="L9" s="13" t="s">
        <v>203</v>
      </c>
      <c r="M9" s="7"/>
      <c r="N9" s="7"/>
      <c r="O9" s="7"/>
      <c r="P9" s="7"/>
      <c r="Q9" s="7"/>
      <c r="R9" s="7"/>
      <c r="S9" s="7"/>
      <c r="T9" s="7"/>
      <c r="U9" s="7"/>
      <c r="V9" s="7"/>
      <c r="W9" s="7"/>
      <c r="X9" s="7"/>
      <c r="Y9" s="7"/>
      <c r="Z9" s="7"/>
      <c r="AA9" s="7"/>
      <c r="AB9" s="7"/>
      <c r="AC9" s="7"/>
      <c r="AD9" s="7"/>
      <c r="AE9" s="7"/>
      <c r="AF9" s="7"/>
    </row>
    <row r="10" spans="3:32" ht="11.25">
      <c r="C10" s="1">
        <v>85</v>
      </c>
      <c r="D10" s="1">
        <v>0.38</v>
      </c>
      <c r="E10" s="1">
        <v>1</v>
      </c>
      <c r="F10" s="3">
        <v>4.6</v>
      </c>
      <c r="H10" s="7"/>
      <c r="I10" s="10">
        <v>36996</v>
      </c>
      <c r="J10" s="7">
        <v>20</v>
      </c>
      <c r="K10" s="7">
        <v>69</v>
      </c>
      <c r="L10" s="7">
        <v>30</v>
      </c>
      <c r="M10" s="7"/>
      <c r="N10" s="7"/>
      <c r="O10" s="7"/>
      <c r="P10" s="7"/>
      <c r="Q10" s="7"/>
      <c r="R10" s="7"/>
      <c r="S10" s="7"/>
      <c r="T10" s="7"/>
      <c r="U10" s="7"/>
      <c r="V10" s="7"/>
      <c r="W10" s="7"/>
      <c r="X10" s="7"/>
      <c r="Y10" s="7"/>
      <c r="Z10" s="7"/>
      <c r="AA10" s="7"/>
      <c r="AB10" s="7"/>
      <c r="AC10" s="7"/>
      <c r="AD10" s="7"/>
      <c r="AE10" s="7"/>
      <c r="AF10" s="7"/>
    </row>
    <row r="11" spans="2:25" ht="12">
      <c r="B11" s="2" t="s">
        <v>321</v>
      </c>
      <c r="E11" s="1">
        <v>2</v>
      </c>
      <c r="F11" s="3">
        <v>9.1</v>
      </c>
      <c r="H11" s="6"/>
      <c r="I11" s="6"/>
      <c r="J11" s="6"/>
      <c r="K11" s="6"/>
      <c r="L11" s="6"/>
      <c r="M11" s="6" t="s">
        <v>75</v>
      </c>
      <c r="N11" s="6" t="s">
        <v>76</v>
      </c>
      <c r="O11" s="6" t="s">
        <v>77</v>
      </c>
      <c r="P11" s="6" t="s">
        <v>78</v>
      </c>
      <c r="Q11" s="6" t="s">
        <v>79</v>
      </c>
      <c r="R11" s="6" t="s">
        <v>80</v>
      </c>
      <c r="S11" s="6" t="s">
        <v>81</v>
      </c>
      <c r="T11" s="6" t="s">
        <v>82</v>
      </c>
      <c r="U11" s="6" t="s">
        <v>83</v>
      </c>
      <c r="V11" s="6" t="s">
        <v>84</v>
      </c>
      <c r="W11" s="6" t="s">
        <v>85</v>
      </c>
      <c r="X11" s="6" t="s">
        <v>86</v>
      </c>
      <c r="Y11" s="6"/>
    </row>
    <row r="12" spans="5:23" ht="12">
      <c r="E12" s="1">
        <v>3</v>
      </c>
      <c r="F12" s="3">
        <v>9.1</v>
      </c>
      <c r="M12" s="4" t="s">
        <v>240</v>
      </c>
      <c r="W12" s="4" t="s">
        <v>241</v>
      </c>
    </row>
    <row r="13" spans="8:23" ht="12">
      <c r="H13" s="23" t="s">
        <v>210</v>
      </c>
      <c r="L13" s="3" t="s">
        <v>96</v>
      </c>
      <c r="M13" s="3">
        <v>6.040302465942383</v>
      </c>
      <c r="N13" s="3">
        <v>5.50796255508728</v>
      </c>
      <c r="O13" s="3">
        <v>4.2299270007705685</v>
      </c>
      <c r="P13" s="3">
        <v>1.2616110630096435</v>
      </c>
      <c r="Q13" s="3">
        <v>0.22135293739379885</v>
      </c>
      <c r="R13" s="3">
        <v>0</v>
      </c>
      <c r="S13" s="3">
        <v>0</v>
      </c>
      <c r="T13" s="3">
        <v>0</v>
      </c>
      <c r="U13" s="3">
        <v>0</v>
      </c>
      <c r="V13" s="3">
        <v>0</v>
      </c>
      <c r="W13" s="3">
        <f>SUM(M13:V13)</f>
        <v>17.261156022203675</v>
      </c>
    </row>
    <row r="14" spans="3:23" ht="12">
      <c r="C14" s="1">
        <v>84</v>
      </c>
      <c r="D14" s="1">
        <v>0.38</v>
      </c>
      <c r="E14" s="1">
        <v>1</v>
      </c>
      <c r="F14" s="3">
        <v>2.9</v>
      </c>
      <c r="H14" s="23" t="s">
        <v>211</v>
      </c>
      <c r="L14" s="3" t="s">
        <v>88</v>
      </c>
      <c r="M14" s="3">
        <f>M13/$W$13</f>
        <v>0.34993614901415143</v>
      </c>
      <c r="N14" s="3">
        <f aca="true" t="shared" si="0" ref="N14:V14">N13/$W$13</f>
        <v>0.3190958095739463</v>
      </c>
      <c r="O14" s="3">
        <f t="shared" si="0"/>
        <v>0.2450546762528219</v>
      </c>
      <c r="P14" s="3">
        <f t="shared" si="0"/>
        <v>0.07308960427602797</v>
      </c>
      <c r="Q14" s="3">
        <f t="shared" si="0"/>
        <v>0.012823760883052341</v>
      </c>
      <c r="R14" s="3">
        <f t="shared" si="0"/>
        <v>0</v>
      </c>
      <c r="S14" s="3">
        <f t="shared" si="0"/>
        <v>0</v>
      </c>
      <c r="T14" s="3">
        <f t="shared" si="0"/>
        <v>0</v>
      </c>
      <c r="U14" s="3">
        <f t="shared" si="0"/>
        <v>0</v>
      </c>
      <c r="V14" s="3">
        <f t="shared" si="0"/>
        <v>0</v>
      </c>
      <c r="W14" s="3">
        <f aca="true" t="shared" si="1" ref="W14:W19">SUM(M14:V14)</f>
        <v>0.9999999999999999</v>
      </c>
    </row>
    <row r="15" spans="2:23" ht="12">
      <c r="B15" s="2" t="s">
        <v>299</v>
      </c>
      <c r="E15" s="1">
        <v>2</v>
      </c>
      <c r="F15" s="3">
        <v>6.4</v>
      </c>
      <c r="H15" s="23" t="s">
        <v>212</v>
      </c>
      <c r="L15" s="3" t="s">
        <v>94</v>
      </c>
      <c r="M15" s="3">
        <v>36.27615268821717</v>
      </c>
      <c r="N15" s="3">
        <v>67.11956194860839</v>
      </c>
      <c r="O15" s="3">
        <v>63.16262731759643</v>
      </c>
      <c r="P15" s="3">
        <v>49.15114772906494</v>
      </c>
      <c r="Q15" s="3">
        <v>22.1500433460083</v>
      </c>
      <c r="R15" s="3">
        <v>0</v>
      </c>
      <c r="S15" s="3">
        <v>0</v>
      </c>
      <c r="T15" s="3">
        <v>0</v>
      </c>
      <c r="U15" s="3">
        <v>0</v>
      </c>
      <c r="V15" s="3">
        <v>0</v>
      </c>
      <c r="W15" s="3">
        <f t="shared" si="1"/>
        <v>237.85953302949522</v>
      </c>
    </row>
    <row r="16" spans="5:23" ht="12">
      <c r="E16" s="1">
        <v>3</v>
      </c>
      <c r="F16" s="3">
        <v>9.2</v>
      </c>
      <c r="H16" s="23" t="s">
        <v>213</v>
      </c>
      <c r="L16" s="3" t="s">
        <v>95</v>
      </c>
      <c r="M16" s="3">
        <v>40.522499911216734</v>
      </c>
      <c r="N16" s="3">
        <v>64.41916635694886</v>
      </c>
      <c r="O16" s="3">
        <v>61.38999977111816</v>
      </c>
      <c r="P16" s="3">
        <v>49.6</v>
      </c>
      <c r="Q16" s="3">
        <v>22.15</v>
      </c>
      <c r="R16" s="3">
        <v>0</v>
      </c>
      <c r="S16" s="3">
        <v>0</v>
      </c>
      <c r="T16" s="3">
        <v>0</v>
      </c>
      <c r="U16" s="3">
        <v>0</v>
      </c>
      <c r="V16" s="3">
        <v>0</v>
      </c>
      <c r="W16" s="3">
        <f t="shared" si="1"/>
        <v>238.08166603928376</v>
      </c>
    </row>
    <row r="17" spans="8:23" ht="12">
      <c r="H17" s="23" t="s">
        <v>214</v>
      </c>
      <c r="L17" s="3" t="s">
        <v>89</v>
      </c>
      <c r="M17" s="3">
        <f>3.1415926*0.39*10</f>
        <v>12.25221114</v>
      </c>
      <c r="N17" s="3">
        <f>3.1415926*0.39*5</f>
        <v>6.12610557</v>
      </c>
      <c r="O17" s="3">
        <f>3.1415926*0.39*5</f>
        <v>6.12610557</v>
      </c>
      <c r="P17" s="3">
        <f>3.1415926*0.39*5</f>
        <v>6.12610557</v>
      </c>
      <c r="Q17" s="3">
        <f>3.1415926*0.39*0.5</f>
        <v>0.612610557</v>
      </c>
      <c r="R17" s="3">
        <v>0</v>
      </c>
      <c r="S17" s="3">
        <v>0</v>
      </c>
      <c r="T17" s="3">
        <v>0</v>
      </c>
      <c r="U17" s="3">
        <v>0</v>
      </c>
      <c r="V17" s="3">
        <v>0</v>
      </c>
      <c r="W17" s="3">
        <f t="shared" si="1"/>
        <v>31.243138407</v>
      </c>
    </row>
    <row r="18" spans="3:23" ht="12">
      <c r="C18" s="1">
        <v>83</v>
      </c>
      <c r="D18" s="1">
        <v>0.37</v>
      </c>
      <c r="E18" s="1">
        <v>1</v>
      </c>
      <c r="F18" s="3">
        <v>4.7</v>
      </c>
      <c r="H18" s="23" t="s">
        <v>215</v>
      </c>
      <c r="L18" s="3" t="s">
        <v>90</v>
      </c>
      <c r="M18" s="3">
        <f aca="true" t="shared" si="2" ref="M18:W18">M17/$W$17</f>
        <v>0.39215686274509803</v>
      </c>
      <c r="N18" s="3">
        <f t="shared" si="2"/>
        <v>0.19607843137254902</v>
      </c>
      <c r="O18" s="3">
        <f t="shared" si="2"/>
        <v>0.19607843137254902</v>
      </c>
      <c r="P18" s="3">
        <f t="shared" si="2"/>
        <v>0.19607843137254902</v>
      </c>
      <c r="Q18" s="3">
        <f t="shared" si="2"/>
        <v>0.0196078431372549</v>
      </c>
      <c r="R18" s="3">
        <f t="shared" si="2"/>
        <v>0</v>
      </c>
      <c r="S18" s="3">
        <f t="shared" si="2"/>
        <v>0</v>
      </c>
      <c r="T18" s="3">
        <f t="shared" si="2"/>
        <v>0</v>
      </c>
      <c r="U18" s="3">
        <f t="shared" si="2"/>
        <v>0</v>
      </c>
      <c r="V18" s="3">
        <f t="shared" si="2"/>
        <v>0</v>
      </c>
      <c r="W18" s="3">
        <f t="shared" si="2"/>
        <v>1</v>
      </c>
    </row>
    <row r="19" spans="2:23" ht="12">
      <c r="B19" s="2" t="s">
        <v>300</v>
      </c>
      <c r="E19" s="1">
        <v>2</v>
      </c>
      <c r="F19" s="3">
        <v>7.7</v>
      </c>
      <c r="H19" s="23" t="s">
        <v>216</v>
      </c>
      <c r="L19" s="3" t="s">
        <v>91</v>
      </c>
      <c r="M19" s="3">
        <v>0</v>
      </c>
      <c r="N19" s="3">
        <v>0</v>
      </c>
      <c r="O19" s="3">
        <v>0</v>
      </c>
      <c r="P19" s="3">
        <v>0</v>
      </c>
      <c r="Q19" s="3">
        <v>0</v>
      </c>
      <c r="R19" s="3">
        <v>0</v>
      </c>
      <c r="S19" s="3">
        <v>0</v>
      </c>
      <c r="T19" s="3">
        <v>0</v>
      </c>
      <c r="U19" s="3">
        <v>0</v>
      </c>
      <c r="V19" s="3">
        <v>0</v>
      </c>
      <c r="W19" s="3">
        <f t="shared" si="1"/>
        <v>0</v>
      </c>
    </row>
    <row r="20" spans="5:23" ht="12">
      <c r="E20" s="1">
        <v>3</v>
      </c>
      <c r="H20" s="23" t="s">
        <v>217</v>
      </c>
      <c r="L20" s="3" t="s">
        <v>92</v>
      </c>
      <c r="M20" s="3">
        <v>0</v>
      </c>
      <c r="N20" s="3">
        <v>0</v>
      </c>
      <c r="O20" s="3">
        <v>0</v>
      </c>
      <c r="P20" s="3">
        <v>0</v>
      </c>
      <c r="Q20" s="3">
        <v>0</v>
      </c>
      <c r="R20" s="3">
        <v>0</v>
      </c>
      <c r="S20" s="3">
        <v>0</v>
      </c>
      <c r="T20" s="3">
        <v>0</v>
      </c>
      <c r="U20" s="3">
        <v>0</v>
      </c>
      <c r="V20" s="3">
        <v>0</v>
      </c>
      <c r="W20" s="3">
        <v>0</v>
      </c>
    </row>
    <row r="21" spans="8:23" ht="12">
      <c r="H21" s="23" t="s">
        <v>218</v>
      </c>
      <c r="L21" s="3" t="s">
        <v>93</v>
      </c>
      <c r="M21" s="3">
        <f>M13+M17+M19</f>
        <v>18.292513605942382</v>
      </c>
      <c r="N21" s="3">
        <f aca="true" t="shared" si="3" ref="N21:W21">N13+N17+N19</f>
        <v>11.63406812508728</v>
      </c>
      <c r="O21" s="3">
        <f t="shared" si="3"/>
        <v>10.35603257077057</v>
      </c>
      <c r="P21" s="3">
        <f t="shared" si="3"/>
        <v>7.387716633009644</v>
      </c>
      <c r="Q21" s="3">
        <f t="shared" si="3"/>
        <v>0.8339634943937988</v>
      </c>
      <c r="R21" s="3">
        <f>R13+R17+R19</f>
        <v>0</v>
      </c>
      <c r="S21" s="3">
        <f t="shared" si="3"/>
        <v>0</v>
      </c>
      <c r="T21" s="3">
        <f t="shared" si="3"/>
        <v>0</v>
      </c>
      <c r="U21" s="3">
        <f t="shared" si="3"/>
        <v>0</v>
      </c>
      <c r="V21" s="3">
        <f t="shared" si="3"/>
        <v>0</v>
      </c>
      <c r="W21" s="3">
        <f t="shared" si="3"/>
        <v>48.504294429203675</v>
      </c>
    </row>
    <row r="22" spans="3:23" ht="12">
      <c r="C22" s="1">
        <v>84</v>
      </c>
      <c r="D22" s="1">
        <v>0.39</v>
      </c>
      <c r="E22" s="1">
        <v>1</v>
      </c>
      <c r="F22" s="3">
        <v>1.5</v>
      </c>
      <c r="H22" s="23" t="s">
        <v>219</v>
      </c>
      <c r="L22" s="3" t="s">
        <v>93</v>
      </c>
      <c r="M22" s="3">
        <f>M21/$W$21</f>
        <v>0.3771318358757271</v>
      </c>
      <c r="N22" s="3">
        <f aca="true" t="shared" si="4" ref="N22:W22">N21/$W$21</f>
        <v>0.23985645522724253</v>
      </c>
      <c r="O22" s="3">
        <f t="shared" si="4"/>
        <v>0.21350753974756026</v>
      </c>
      <c r="P22" s="3">
        <f t="shared" si="4"/>
        <v>0.15231056795997047</v>
      </c>
      <c r="Q22" s="3">
        <f t="shared" si="4"/>
        <v>0.017193601189499676</v>
      </c>
      <c r="R22" s="3">
        <f t="shared" si="4"/>
        <v>0</v>
      </c>
      <c r="S22" s="3">
        <f t="shared" si="4"/>
        <v>0</v>
      </c>
      <c r="T22" s="3">
        <f t="shared" si="4"/>
        <v>0</v>
      </c>
      <c r="U22" s="3">
        <f t="shared" si="4"/>
        <v>0</v>
      </c>
      <c r="V22" s="3">
        <f t="shared" si="4"/>
        <v>0</v>
      </c>
      <c r="W22" s="3">
        <f t="shared" si="4"/>
        <v>1</v>
      </c>
    </row>
    <row r="23" spans="2:32" ht="12">
      <c r="B23" s="2" t="s">
        <v>248</v>
      </c>
      <c r="E23" s="1">
        <v>2</v>
      </c>
      <c r="F23" s="3">
        <v>3.3</v>
      </c>
      <c r="H23" s="7"/>
      <c r="I23" s="7"/>
      <c r="J23" s="7"/>
      <c r="K23" s="7"/>
      <c r="L23" s="7" t="s">
        <v>46</v>
      </c>
      <c r="M23" s="7" t="s">
        <v>47</v>
      </c>
      <c r="N23" s="11">
        <v>37021</v>
      </c>
      <c r="O23" s="11">
        <v>37179</v>
      </c>
      <c r="P23" s="7" t="s">
        <v>48</v>
      </c>
      <c r="Q23" s="7" t="s">
        <v>49</v>
      </c>
      <c r="R23" s="7" t="s">
        <v>50</v>
      </c>
      <c r="S23" s="7" t="s">
        <v>51</v>
      </c>
      <c r="T23" s="7" t="s">
        <v>52</v>
      </c>
      <c r="U23" s="7" t="s">
        <v>53</v>
      </c>
      <c r="V23" s="7" t="s">
        <v>54</v>
      </c>
      <c r="W23" s="7" t="s">
        <v>55</v>
      </c>
      <c r="X23" s="7" t="s">
        <v>56</v>
      </c>
      <c r="Y23" s="7" t="s">
        <v>57</v>
      </c>
      <c r="Z23" s="7" t="s">
        <v>58</v>
      </c>
      <c r="AA23" s="7" t="s">
        <v>59</v>
      </c>
      <c r="AB23" s="7" t="s">
        <v>60</v>
      </c>
      <c r="AC23" s="7" t="s">
        <v>61</v>
      </c>
      <c r="AD23" s="7" t="s">
        <v>62</v>
      </c>
      <c r="AE23" s="7" t="s">
        <v>63</v>
      </c>
      <c r="AF23" s="7"/>
    </row>
    <row r="24" spans="5:32" ht="12">
      <c r="E24" s="1">
        <v>3</v>
      </c>
      <c r="F24" s="3">
        <v>6.7</v>
      </c>
      <c r="H24" s="7"/>
      <c r="I24" s="7"/>
      <c r="J24" s="7"/>
      <c r="K24" s="7"/>
      <c r="L24" s="13" t="s">
        <v>234</v>
      </c>
      <c r="M24" s="7"/>
      <c r="N24" s="12"/>
      <c r="O24" s="12"/>
      <c r="P24" s="7"/>
      <c r="Q24" s="7"/>
      <c r="R24" s="7"/>
      <c r="S24" s="7"/>
      <c r="T24" s="7"/>
      <c r="U24" s="7"/>
      <c r="V24" s="7"/>
      <c r="W24" s="7"/>
      <c r="X24" s="7"/>
      <c r="Y24" s="7"/>
      <c r="Z24" s="7"/>
      <c r="AA24" s="7"/>
      <c r="AB24" s="7"/>
      <c r="AC24" s="7"/>
      <c r="AD24" s="7"/>
      <c r="AE24" s="13" t="s">
        <v>242</v>
      </c>
      <c r="AF24" s="7"/>
    </row>
    <row r="25" spans="5:32" ht="12">
      <c r="E25" s="1">
        <v>4</v>
      </c>
      <c r="H25" s="13" t="s">
        <v>220</v>
      </c>
      <c r="I25" s="7"/>
      <c r="J25" s="7"/>
      <c r="K25" s="7"/>
      <c r="L25" s="7" t="s">
        <v>97</v>
      </c>
      <c r="M25" s="7">
        <v>0.6607066690921783</v>
      </c>
      <c r="N25" s="7">
        <v>0.3162858456373215</v>
      </c>
      <c r="O25" s="7">
        <v>0.3375499963760376</v>
      </c>
      <c r="P25" s="7">
        <v>0.7688474947750569</v>
      </c>
      <c r="Q25" s="7">
        <v>0.1502333402633667</v>
      </c>
      <c r="R25" s="7">
        <v>0.5229000100135803</v>
      </c>
      <c r="S25" s="7">
        <v>0.537201663851738</v>
      </c>
      <c r="T25" s="7">
        <v>0.33812916874885557</v>
      </c>
      <c r="U25" s="7">
        <v>0.21534167975187302</v>
      </c>
      <c r="V25" s="7">
        <v>1.3637941537857057</v>
      </c>
      <c r="W25" s="7">
        <v>0.7136024951934814</v>
      </c>
      <c r="X25" s="7">
        <v>1.005225005278206</v>
      </c>
      <c r="Y25" s="7">
        <v>2.1933600108146667</v>
      </c>
      <c r="Z25" s="7">
        <v>2.33715833421669</v>
      </c>
      <c r="AA25" s="7">
        <v>0.4976500003814698</v>
      </c>
      <c r="AB25" s="7">
        <v>1.3934375085830688</v>
      </c>
      <c r="AC25" s="7">
        <v>2.2329081772842407</v>
      </c>
      <c r="AD25" s="7">
        <v>1.3623366678118707</v>
      </c>
      <c r="AE25" s="7">
        <f>SUM(M25:AD25)</f>
        <v>16.946668221859408</v>
      </c>
      <c r="AF25" s="7"/>
    </row>
    <row r="26" spans="3:32" ht="12">
      <c r="C26" s="1">
        <v>83</v>
      </c>
      <c r="D26" s="1">
        <v>0.39</v>
      </c>
      <c r="E26" s="1">
        <v>1</v>
      </c>
      <c r="F26" s="3">
        <v>3.7</v>
      </c>
      <c r="H26" s="13" t="s">
        <v>221</v>
      </c>
      <c r="I26" s="7"/>
      <c r="J26" s="7"/>
      <c r="K26" s="7"/>
      <c r="L26" s="7" t="s">
        <v>64</v>
      </c>
      <c r="M26" s="7">
        <v>0</v>
      </c>
      <c r="N26" s="7">
        <v>0</v>
      </c>
      <c r="O26" s="7">
        <v>0</v>
      </c>
      <c r="P26" s="7">
        <v>0</v>
      </c>
      <c r="Q26" s="7">
        <v>0</v>
      </c>
      <c r="R26" s="7">
        <v>0</v>
      </c>
      <c r="S26" s="7">
        <v>0</v>
      </c>
      <c r="T26" s="7">
        <v>0</v>
      </c>
      <c r="U26" s="7">
        <v>0</v>
      </c>
      <c r="V26" s="7">
        <v>0</v>
      </c>
      <c r="W26" s="7">
        <v>0</v>
      </c>
      <c r="X26" s="7">
        <v>0</v>
      </c>
      <c r="Y26" s="7">
        <v>0</v>
      </c>
      <c r="Z26" s="7">
        <v>0</v>
      </c>
      <c r="AA26" s="7">
        <v>0</v>
      </c>
      <c r="AB26" s="7">
        <v>0</v>
      </c>
      <c r="AC26" s="7">
        <f>3.1415*0.39*21</f>
        <v>25.728885000000005</v>
      </c>
      <c r="AD26" s="7">
        <v>0</v>
      </c>
      <c r="AE26" s="7">
        <f>SUM(M26:AD26)</f>
        <v>25.728885000000005</v>
      </c>
      <c r="AF26" s="7"/>
    </row>
    <row r="27" spans="2:32" ht="12">
      <c r="B27" s="2" t="s">
        <v>325</v>
      </c>
      <c r="E27" s="1">
        <v>2</v>
      </c>
      <c r="F27" s="3">
        <v>8.3</v>
      </c>
      <c r="H27" s="13" t="s">
        <v>222</v>
      </c>
      <c r="I27" s="7"/>
      <c r="J27" s="7"/>
      <c r="K27" s="7"/>
      <c r="L27" s="7" t="s">
        <v>65</v>
      </c>
      <c r="M27" s="7">
        <f>M25+M26</f>
        <v>0.6607066690921783</v>
      </c>
      <c r="N27" s="7">
        <f aca="true" t="shared" si="5" ref="N27:U27">N25+N26</f>
        <v>0.3162858456373215</v>
      </c>
      <c r="O27" s="7">
        <f t="shared" si="5"/>
        <v>0.3375499963760376</v>
      </c>
      <c r="P27" s="7">
        <f t="shared" si="5"/>
        <v>0.7688474947750569</v>
      </c>
      <c r="Q27" s="7">
        <f t="shared" si="5"/>
        <v>0.1502333402633667</v>
      </c>
      <c r="R27" s="7">
        <f t="shared" si="5"/>
        <v>0.5229000100135803</v>
      </c>
      <c r="S27" s="7">
        <f t="shared" si="5"/>
        <v>0.537201663851738</v>
      </c>
      <c r="T27" s="7">
        <f t="shared" si="5"/>
        <v>0.33812916874885557</v>
      </c>
      <c r="U27" s="7">
        <f t="shared" si="5"/>
        <v>0.21534167975187302</v>
      </c>
      <c r="V27" s="7">
        <f aca="true" t="shared" si="6" ref="V27:AB27">V25+V26</f>
        <v>1.3637941537857057</v>
      </c>
      <c r="W27" s="7">
        <f t="shared" si="6"/>
        <v>0.7136024951934814</v>
      </c>
      <c r="X27" s="7">
        <f t="shared" si="6"/>
        <v>1.005225005278206</v>
      </c>
      <c r="Y27" s="7">
        <f t="shared" si="6"/>
        <v>2.1933600108146667</v>
      </c>
      <c r="Z27" s="7">
        <f t="shared" si="6"/>
        <v>2.33715833421669</v>
      </c>
      <c r="AA27" s="7">
        <f t="shared" si="6"/>
        <v>0.4976500003814698</v>
      </c>
      <c r="AB27" s="7">
        <f t="shared" si="6"/>
        <v>1.3934375085830688</v>
      </c>
      <c r="AC27" s="7">
        <f>AC26+AC25</f>
        <v>27.961793177284246</v>
      </c>
      <c r="AD27" s="7">
        <f>AD26+AD25</f>
        <v>1.3623366678118707</v>
      </c>
      <c r="AE27" s="7">
        <f>SUM(M27:AD27)</f>
        <v>42.67555322185942</v>
      </c>
      <c r="AF27" s="7"/>
    </row>
    <row r="28" spans="5:32" ht="12">
      <c r="E28" s="1">
        <v>3</v>
      </c>
      <c r="F28" s="3">
        <v>10.7</v>
      </c>
      <c r="H28" s="13" t="s">
        <v>223</v>
      </c>
      <c r="I28" s="7"/>
      <c r="J28" s="7"/>
      <c r="K28" s="7"/>
      <c r="L28" s="7" t="s">
        <v>66</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row>
    <row r="29" spans="5:32" ht="12">
      <c r="E29" s="1">
        <v>4</v>
      </c>
      <c r="F29" s="3">
        <v>10.7</v>
      </c>
      <c r="H29" s="13" t="s">
        <v>224</v>
      </c>
      <c r="I29" s="7"/>
      <c r="J29" s="7"/>
      <c r="K29" s="7"/>
      <c r="L29" s="7" t="s">
        <v>67</v>
      </c>
      <c r="M29" s="7">
        <f aca="true" t="shared" si="7" ref="M29:AE29">M27+M28</f>
        <v>0.6607066690921783</v>
      </c>
      <c r="N29" s="7">
        <f t="shared" si="7"/>
        <v>0.3162858456373215</v>
      </c>
      <c r="O29" s="7">
        <f t="shared" si="7"/>
        <v>0.3375499963760376</v>
      </c>
      <c r="P29" s="7">
        <f t="shared" si="7"/>
        <v>0.7688474947750569</v>
      </c>
      <c r="Q29" s="7">
        <f t="shared" si="7"/>
        <v>0.1502333402633667</v>
      </c>
      <c r="R29" s="7">
        <f t="shared" si="7"/>
        <v>0.5229000100135803</v>
      </c>
      <c r="S29" s="7">
        <f t="shared" si="7"/>
        <v>0.537201663851738</v>
      </c>
      <c r="T29" s="7">
        <f t="shared" si="7"/>
        <v>0.33812916874885557</v>
      </c>
      <c r="U29" s="7">
        <f t="shared" si="7"/>
        <v>0.21534167975187302</v>
      </c>
      <c r="V29" s="7">
        <f t="shared" si="7"/>
        <v>1.3637941537857057</v>
      </c>
      <c r="W29" s="7">
        <f t="shared" si="7"/>
        <v>0.7136024951934814</v>
      </c>
      <c r="X29" s="7">
        <f t="shared" si="7"/>
        <v>1.005225005278206</v>
      </c>
      <c r="Y29" s="7">
        <f t="shared" si="7"/>
        <v>2.1933600108146667</v>
      </c>
      <c r="Z29" s="7">
        <f t="shared" si="7"/>
        <v>2.33715833421669</v>
      </c>
      <c r="AA29" s="7">
        <f t="shared" si="7"/>
        <v>0.4976500003814698</v>
      </c>
      <c r="AB29" s="7">
        <f t="shared" si="7"/>
        <v>1.3934375085830688</v>
      </c>
      <c r="AC29" s="7">
        <f t="shared" si="7"/>
        <v>27.961793177284246</v>
      </c>
      <c r="AD29" s="7">
        <f t="shared" si="7"/>
        <v>1.3623366678118707</v>
      </c>
      <c r="AE29" s="7">
        <f t="shared" si="7"/>
        <v>42.67555322185942</v>
      </c>
      <c r="AF29" s="7"/>
    </row>
    <row r="30" spans="3:32" ht="12">
      <c r="C30" s="1">
        <v>85</v>
      </c>
      <c r="D30" s="1">
        <v>0.38</v>
      </c>
      <c r="E30" s="1">
        <v>1</v>
      </c>
      <c r="F30" s="3">
        <v>1.2</v>
      </c>
      <c r="H30" s="13" t="s">
        <v>225</v>
      </c>
      <c r="I30" s="7"/>
      <c r="J30" s="7"/>
      <c r="K30" s="7"/>
      <c r="L30" s="7" t="s">
        <v>68</v>
      </c>
      <c r="M30" s="7">
        <f>M25/AE25</f>
        <v>0.038987408052276414</v>
      </c>
      <c r="N30" s="7">
        <f>N25/AE25</f>
        <v>0.018663600508172232</v>
      </c>
      <c r="O30" s="7">
        <f>O25/AE25</f>
        <v>0.01991836931938243</v>
      </c>
      <c r="P30" s="7">
        <f>P25/AE25</f>
        <v>0.0453686520978398</v>
      </c>
      <c r="Q30" s="7">
        <f>Q25/AE25</f>
        <v>0.008865066471861508</v>
      </c>
      <c r="R30" s="7">
        <f>R25/AE25</f>
        <v>0.03085562325101135</v>
      </c>
      <c r="S30" s="7">
        <f>S25/AE25</f>
        <v>0.031699544525147706</v>
      </c>
      <c r="T30" s="7">
        <f>T25/AE25</f>
        <v>0.019952545498749114</v>
      </c>
      <c r="U30" s="7">
        <f>U25/AE25</f>
        <v>0.012707021635916908</v>
      </c>
      <c r="V30" s="7">
        <f>V25/AE25</f>
        <v>0.08047565078465133</v>
      </c>
      <c r="W30" s="7">
        <f>W25/AE25</f>
        <v>0.042108719298169166</v>
      </c>
      <c r="X30" s="7">
        <f>X25/AE25</f>
        <v>0.059316969690925564</v>
      </c>
      <c r="Y30" s="7">
        <f>Y25/AE25</f>
        <v>0.12942721141996893</v>
      </c>
      <c r="Z30" s="7">
        <f>Z25/AE25</f>
        <v>0.13791255623934404</v>
      </c>
      <c r="AA30" s="7">
        <f>AA25/AE25</f>
        <v>0.02936565429065012</v>
      </c>
      <c r="AB30" s="7">
        <f>AB25/AE25</f>
        <v>0.08222486510862836</v>
      </c>
      <c r="AC30" s="7">
        <f>AC25/AE25</f>
        <v>0.13176089530117935</v>
      </c>
      <c r="AD30" s="7">
        <f>AD25/AE25</f>
        <v>0.08038964650612565</v>
      </c>
      <c r="AE30" s="7">
        <f>AE25/AE25</f>
        <v>1</v>
      </c>
      <c r="AF30" s="7"/>
    </row>
    <row r="31" spans="2:32" ht="12">
      <c r="B31" s="2" t="s">
        <v>328</v>
      </c>
      <c r="E31" s="1">
        <v>2</v>
      </c>
      <c r="F31" s="3">
        <v>4.4</v>
      </c>
      <c r="H31" s="13" t="s">
        <v>226</v>
      </c>
      <c r="I31" s="7"/>
      <c r="J31" s="7"/>
      <c r="K31" s="7"/>
      <c r="L31" s="7" t="s">
        <v>69</v>
      </c>
      <c r="M31" s="7">
        <f aca="true" t="shared" si="8" ref="M31:AB31">M26/$AC$26</f>
        <v>0</v>
      </c>
      <c r="N31" s="7">
        <f t="shared" si="8"/>
        <v>0</v>
      </c>
      <c r="O31" s="7">
        <f t="shared" si="8"/>
        <v>0</v>
      </c>
      <c r="P31" s="7">
        <f t="shared" si="8"/>
        <v>0</v>
      </c>
      <c r="Q31" s="7">
        <f t="shared" si="8"/>
        <v>0</v>
      </c>
      <c r="R31" s="7">
        <f t="shared" si="8"/>
        <v>0</v>
      </c>
      <c r="S31" s="7">
        <f t="shared" si="8"/>
        <v>0</v>
      </c>
      <c r="T31" s="7">
        <f t="shared" si="8"/>
        <v>0</v>
      </c>
      <c r="U31" s="7">
        <f t="shared" si="8"/>
        <v>0</v>
      </c>
      <c r="V31" s="7">
        <f t="shared" si="8"/>
        <v>0</v>
      </c>
      <c r="W31" s="7">
        <f t="shared" si="8"/>
        <v>0</v>
      </c>
      <c r="X31" s="7">
        <f t="shared" si="8"/>
        <v>0</v>
      </c>
      <c r="Y31" s="7">
        <f t="shared" si="8"/>
        <v>0</v>
      </c>
      <c r="Z31" s="7">
        <f t="shared" si="8"/>
        <v>0</v>
      </c>
      <c r="AA31" s="7">
        <f t="shared" si="8"/>
        <v>0</v>
      </c>
      <c r="AB31" s="7">
        <f t="shared" si="8"/>
        <v>0</v>
      </c>
      <c r="AC31" s="7">
        <v>0</v>
      </c>
      <c r="AD31" s="7">
        <v>0</v>
      </c>
      <c r="AE31" s="7">
        <v>0</v>
      </c>
      <c r="AF31" s="7"/>
    </row>
    <row r="32" spans="5:32" ht="12">
      <c r="E32" s="1">
        <v>3</v>
      </c>
      <c r="F32" s="3">
        <v>4.4</v>
      </c>
      <c r="H32" s="13" t="s">
        <v>227</v>
      </c>
      <c r="I32" s="7"/>
      <c r="J32" s="7"/>
      <c r="K32" s="7"/>
      <c r="L32" s="7" t="s">
        <v>70</v>
      </c>
      <c r="M32" s="3">
        <f aca="true" t="shared" si="9" ref="M32:AE32">M27/$AE$27</f>
        <v>0.015482087968662793</v>
      </c>
      <c r="N32" s="3">
        <f t="shared" si="9"/>
        <v>0.0074114058696095</v>
      </c>
      <c r="O32" s="3">
        <f t="shared" si="9"/>
        <v>0.007909680622561598</v>
      </c>
      <c r="P32" s="3">
        <f t="shared" si="9"/>
        <v>0.018016110787785526</v>
      </c>
      <c r="Q32" s="3">
        <f t="shared" si="9"/>
        <v>0.003520360696493881</v>
      </c>
      <c r="R32" s="3">
        <f t="shared" si="9"/>
        <v>0.012252916963844741</v>
      </c>
      <c r="S32" s="3">
        <f t="shared" si="9"/>
        <v>0.012588042176253984</v>
      </c>
      <c r="T32" s="3">
        <f t="shared" si="9"/>
        <v>0.007923252148390613</v>
      </c>
      <c r="U32" s="3">
        <f t="shared" si="9"/>
        <v>0.0050460196410897365</v>
      </c>
      <c r="V32" s="3">
        <f t="shared" si="9"/>
        <v>0.03195726946281597</v>
      </c>
      <c r="W32" s="3">
        <f t="shared" si="9"/>
        <v>0.016721575734089313</v>
      </c>
      <c r="X32" s="3">
        <f t="shared" si="9"/>
        <v>0.023555055046440645</v>
      </c>
      <c r="Y32" s="3">
        <f t="shared" si="9"/>
        <v>0.051396170529106965</v>
      </c>
      <c r="Z32" s="3">
        <f t="shared" si="9"/>
        <v>0.05476574192410335</v>
      </c>
      <c r="AA32" s="3">
        <f t="shared" si="9"/>
        <v>0.011661243096119064</v>
      </c>
      <c r="AB32" s="3">
        <f t="shared" si="9"/>
        <v>0.032651890916069425</v>
      </c>
      <c r="AC32" s="3">
        <f t="shared" si="9"/>
        <v>0.6552180596679779</v>
      </c>
      <c r="AD32" s="3">
        <f t="shared" si="9"/>
        <v>0.031923116748584994</v>
      </c>
      <c r="AE32" s="3">
        <f t="shared" si="9"/>
        <v>1</v>
      </c>
      <c r="AF32" s="7"/>
    </row>
    <row r="33" spans="8:32" ht="12">
      <c r="H33" s="13" t="s">
        <v>228</v>
      </c>
      <c r="I33" s="7"/>
      <c r="J33" s="7"/>
      <c r="K33" s="7"/>
      <c r="L33" s="7" t="s">
        <v>71</v>
      </c>
      <c r="M33" s="7">
        <f>M30</f>
        <v>0.038987408052276414</v>
      </c>
      <c r="N33" s="7">
        <f>M30+N30</f>
        <v>0.05765100856044865</v>
      </c>
      <c r="O33" s="7">
        <f aca="true" t="shared" si="10" ref="O33:AC33">N33+O30</f>
        <v>0.07756937787983108</v>
      </c>
      <c r="P33" s="7">
        <f t="shared" si="10"/>
        <v>0.12293802997767088</v>
      </c>
      <c r="Q33" s="7">
        <f t="shared" si="10"/>
        <v>0.1318030964495324</v>
      </c>
      <c r="R33" s="7">
        <f t="shared" si="10"/>
        <v>0.16265871970054374</v>
      </c>
      <c r="S33" s="7">
        <f t="shared" si="10"/>
        <v>0.19435826422569144</v>
      </c>
      <c r="T33" s="7">
        <f t="shared" si="10"/>
        <v>0.21431080972444055</v>
      </c>
      <c r="U33" s="7">
        <f t="shared" si="10"/>
        <v>0.22701783136035747</v>
      </c>
      <c r="V33" s="7">
        <f t="shared" si="10"/>
        <v>0.3074934821450088</v>
      </c>
      <c r="W33" s="7">
        <f t="shared" si="10"/>
        <v>0.349602201443178</v>
      </c>
      <c r="X33" s="7">
        <f t="shared" si="10"/>
        <v>0.4089191711341036</v>
      </c>
      <c r="Y33" s="7">
        <f t="shared" si="10"/>
        <v>0.5383463825540725</v>
      </c>
      <c r="Z33" s="7">
        <f t="shared" si="10"/>
        <v>0.6762589387934166</v>
      </c>
      <c r="AA33" s="7">
        <f t="shared" si="10"/>
        <v>0.7056245930840667</v>
      </c>
      <c r="AB33" s="7">
        <f t="shared" si="10"/>
        <v>0.787849458192695</v>
      </c>
      <c r="AC33" s="7">
        <f t="shared" si="10"/>
        <v>0.9196103534938744</v>
      </c>
      <c r="AD33" s="7"/>
      <c r="AE33" s="7"/>
      <c r="AF33" s="7"/>
    </row>
    <row r="34" spans="3:32" ht="12">
      <c r="C34" s="1">
        <v>85</v>
      </c>
      <c r="D34" s="1">
        <v>0.39</v>
      </c>
      <c r="E34" s="1">
        <v>1</v>
      </c>
      <c r="F34" s="3">
        <v>2.6</v>
      </c>
      <c r="H34" s="13" t="s">
        <v>230</v>
      </c>
      <c r="I34" s="7"/>
      <c r="J34" s="7"/>
      <c r="K34" s="7"/>
      <c r="L34" s="7" t="s">
        <v>72</v>
      </c>
      <c r="M34" s="7">
        <f aca="true" t="shared" si="11" ref="M34:AC34">M33+M31</f>
        <v>0.038987408052276414</v>
      </c>
      <c r="N34" s="13">
        <f t="shared" si="11"/>
        <v>0.05765100856044865</v>
      </c>
      <c r="O34" s="13">
        <f t="shared" si="11"/>
        <v>0.07756937787983108</v>
      </c>
      <c r="P34" s="13">
        <f t="shared" si="11"/>
        <v>0.12293802997767088</v>
      </c>
      <c r="Q34" s="13">
        <f t="shared" si="11"/>
        <v>0.1318030964495324</v>
      </c>
      <c r="R34" s="13">
        <f t="shared" si="11"/>
        <v>0.16265871970054374</v>
      </c>
      <c r="S34" s="13">
        <f t="shared" si="11"/>
        <v>0.19435826422569144</v>
      </c>
      <c r="T34" s="13">
        <f t="shared" si="11"/>
        <v>0.21431080972444055</v>
      </c>
      <c r="U34" s="13">
        <f t="shared" si="11"/>
        <v>0.22701783136035747</v>
      </c>
      <c r="V34" s="13">
        <f t="shared" si="11"/>
        <v>0.3074934821450088</v>
      </c>
      <c r="W34" s="13">
        <f t="shared" si="11"/>
        <v>0.349602201443178</v>
      </c>
      <c r="X34" s="13">
        <f t="shared" si="11"/>
        <v>0.4089191711341036</v>
      </c>
      <c r="Y34" s="13">
        <f t="shared" si="11"/>
        <v>0.5383463825540725</v>
      </c>
      <c r="Z34" s="13">
        <f t="shared" si="11"/>
        <v>0.6762589387934166</v>
      </c>
      <c r="AA34" s="13">
        <f t="shared" si="11"/>
        <v>0.7056245930840667</v>
      </c>
      <c r="AB34" s="13">
        <f t="shared" si="11"/>
        <v>0.787849458192695</v>
      </c>
      <c r="AC34" s="13">
        <f t="shared" si="11"/>
        <v>0.9196103534938744</v>
      </c>
      <c r="AD34" s="13"/>
      <c r="AE34" s="13"/>
      <c r="AF34" s="13"/>
    </row>
    <row r="35" spans="2:32" ht="12">
      <c r="B35" s="2" t="s">
        <v>205</v>
      </c>
      <c r="E35" s="1">
        <v>2</v>
      </c>
      <c r="F35" s="3">
        <v>3.8</v>
      </c>
      <c r="H35" s="7" t="s">
        <v>229</v>
      </c>
      <c r="I35" s="7"/>
      <c r="J35" s="7"/>
      <c r="K35" s="7"/>
      <c r="L35" s="7" t="s">
        <v>73</v>
      </c>
      <c r="M35" s="7">
        <f>M32</f>
        <v>0.015482087968662793</v>
      </c>
      <c r="N35" s="7">
        <f aca="true" t="shared" si="12" ref="N35:AD35">M35+N32</f>
        <v>0.022893493838272293</v>
      </c>
      <c r="O35" s="7">
        <f t="shared" si="12"/>
        <v>0.03080317446083389</v>
      </c>
      <c r="P35" s="7">
        <f t="shared" si="12"/>
        <v>0.04881928524861942</v>
      </c>
      <c r="Q35" s="7">
        <f t="shared" si="12"/>
        <v>0.052339645945113304</v>
      </c>
      <c r="R35" s="7">
        <f t="shared" si="12"/>
        <v>0.06459256290895804</v>
      </c>
      <c r="S35" s="7">
        <f t="shared" si="12"/>
        <v>0.07718060508521202</v>
      </c>
      <c r="T35" s="7">
        <f t="shared" si="12"/>
        <v>0.08510385723360263</v>
      </c>
      <c r="U35" s="7">
        <f t="shared" si="12"/>
        <v>0.09014987687469236</v>
      </c>
      <c r="V35" s="7">
        <f t="shared" si="12"/>
        <v>0.12210714633750833</v>
      </c>
      <c r="W35" s="7">
        <f t="shared" si="12"/>
        <v>0.13882872207159763</v>
      </c>
      <c r="X35" s="7">
        <f t="shared" si="12"/>
        <v>0.16238377711803828</v>
      </c>
      <c r="Y35" s="7">
        <f t="shared" si="12"/>
        <v>0.21377994764714525</v>
      </c>
      <c r="Z35" s="7">
        <f t="shared" si="12"/>
        <v>0.2685456895712486</v>
      </c>
      <c r="AA35" s="7">
        <f t="shared" si="12"/>
        <v>0.2802069326673676</v>
      </c>
      <c r="AB35" s="7">
        <f t="shared" si="12"/>
        <v>0.31285882358343703</v>
      </c>
      <c r="AC35" s="7">
        <f t="shared" si="12"/>
        <v>0.9680768832514148</v>
      </c>
      <c r="AD35" s="7">
        <f t="shared" si="12"/>
        <v>0.9999999999999998</v>
      </c>
      <c r="AE35" s="7"/>
      <c r="AF35" s="7"/>
    </row>
    <row r="36" spans="5:25" ht="11.25">
      <c r="E36" s="1">
        <v>3</v>
      </c>
      <c r="F36" s="3">
        <v>8.3</v>
      </c>
      <c r="H36" s="7"/>
      <c r="I36" s="7"/>
      <c r="J36" s="7"/>
      <c r="K36" s="7"/>
      <c r="L36" s="7"/>
      <c r="M36" s="7"/>
      <c r="N36" s="7"/>
      <c r="O36" s="7"/>
      <c r="P36" s="7"/>
      <c r="Q36" s="7"/>
      <c r="R36" s="7"/>
      <c r="S36" s="7"/>
      <c r="T36" s="7"/>
      <c r="U36" s="7"/>
      <c r="V36" s="7"/>
      <c r="W36" s="7"/>
      <c r="X36" s="7"/>
      <c r="Y36" s="7"/>
    </row>
    <row r="37" spans="5:25" ht="12">
      <c r="E37" s="1">
        <v>4</v>
      </c>
      <c r="F37" s="3">
        <v>8.3</v>
      </c>
      <c r="H37" s="4" t="s">
        <v>231</v>
      </c>
      <c r="J37" s="1"/>
      <c r="K37" s="1"/>
      <c r="L37" s="1"/>
      <c r="M37" s="1"/>
      <c r="N37" s="1"/>
      <c r="O37" s="1"/>
      <c r="P37" s="1"/>
      <c r="Q37" s="1"/>
      <c r="R37" s="1"/>
      <c r="S37" s="1"/>
      <c r="T37" s="1"/>
      <c r="U37" s="1"/>
      <c r="V37" s="1"/>
      <c r="W37" s="1"/>
      <c r="X37" s="1"/>
      <c r="Y37" s="1"/>
    </row>
    <row r="38" spans="3:25" ht="11.25">
      <c r="C38" s="1">
        <v>84</v>
      </c>
      <c r="D38" s="1">
        <v>0.39</v>
      </c>
      <c r="E38" s="1">
        <v>1</v>
      </c>
      <c r="F38" s="3">
        <v>3.7</v>
      </c>
      <c r="H38" s="1"/>
      <c r="I38" s="1"/>
      <c r="J38" s="1"/>
      <c r="K38" s="1"/>
      <c r="L38" s="1"/>
      <c r="M38" s="1"/>
      <c r="N38" s="1"/>
      <c r="O38" s="1"/>
      <c r="P38" s="1"/>
      <c r="Q38" s="1"/>
      <c r="R38" s="1"/>
      <c r="S38" s="1"/>
      <c r="T38" s="1"/>
      <c r="U38" s="1"/>
      <c r="V38" s="1"/>
      <c r="W38" s="1"/>
      <c r="X38" s="1"/>
      <c r="Y38" s="1"/>
    </row>
    <row r="39" spans="2:9" ht="12">
      <c r="B39" s="2" t="s">
        <v>239</v>
      </c>
      <c r="E39" s="1">
        <v>2</v>
      </c>
      <c r="F39" s="3">
        <v>6.7</v>
      </c>
      <c r="I39" s="4"/>
    </row>
    <row r="40" spans="5:6" ht="11.25">
      <c r="E40" s="1">
        <v>3</v>
      </c>
      <c r="F40" s="3">
        <v>11</v>
      </c>
    </row>
    <row r="41" spans="5:6" ht="11.25">
      <c r="E41" s="1">
        <v>4</v>
      </c>
      <c r="F41" s="3">
        <v>11</v>
      </c>
    </row>
    <row r="43" spans="3:6" ht="11.25">
      <c r="C43" s="1">
        <v>85</v>
      </c>
      <c r="D43" s="1">
        <v>0.38</v>
      </c>
      <c r="E43" s="1">
        <v>1</v>
      </c>
      <c r="F43" s="3">
        <v>3.5</v>
      </c>
    </row>
    <row r="44" spans="1:6" ht="12">
      <c r="A44" s="2" t="s">
        <v>131</v>
      </c>
      <c r="B44" s="2" t="s">
        <v>302</v>
      </c>
      <c r="E44" s="1">
        <v>2</v>
      </c>
      <c r="F44" s="3">
        <v>9</v>
      </c>
    </row>
    <row r="45" spans="5:6" ht="11.25">
      <c r="E45" s="1">
        <v>3</v>
      </c>
      <c r="F45" s="3">
        <v>9</v>
      </c>
    </row>
    <row r="47" spans="3:6" ht="11.25">
      <c r="C47" s="1">
        <v>84</v>
      </c>
      <c r="D47" s="1">
        <v>0.39</v>
      </c>
      <c r="E47" s="1">
        <v>1</v>
      </c>
      <c r="F47" s="3">
        <v>2.8</v>
      </c>
    </row>
    <row r="48" spans="2:6" ht="12">
      <c r="B48" s="2" t="s">
        <v>252</v>
      </c>
      <c r="E48" s="1">
        <v>2</v>
      </c>
      <c r="F48" s="3">
        <v>5.2</v>
      </c>
    </row>
    <row r="49" spans="5:6" ht="11.25">
      <c r="E49" s="1">
        <v>3</v>
      </c>
      <c r="F49" s="3">
        <v>10.5</v>
      </c>
    </row>
    <row r="50" spans="5:6" ht="11.25">
      <c r="E50" s="1">
        <v>4</v>
      </c>
      <c r="F50" s="3">
        <v>10.5</v>
      </c>
    </row>
    <row r="51" spans="3:6" ht="11.25">
      <c r="C51" s="1">
        <v>83</v>
      </c>
      <c r="D51" s="1">
        <v>0.39</v>
      </c>
      <c r="E51" s="1">
        <v>1</v>
      </c>
      <c r="F51" s="3">
        <v>1.2</v>
      </c>
    </row>
    <row r="52" spans="2:6" ht="12">
      <c r="B52" s="2" t="s">
        <v>271</v>
      </c>
      <c r="E52" s="1">
        <v>2</v>
      </c>
      <c r="F52" s="3">
        <v>5.8</v>
      </c>
    </row>
    <row r="53" spans="1:6" ht="12">
      <c r="A53" s="30" t="s">
        <v>132</v>
      </c>
      <c r="B53" s="30"/>
      <c r="E53" s="1">
        <v>3</v>
      </c>
      <c r="F53" s="3">
        <v>5.8</v>
      </c>
    </row>
    <row r="54" spans="1:6" ht="12">
      <c r="A54" s="30" t="s">
        <v>133</v>
      </c>
      <c r="B54" s="30"/>
      <c r="E54" s="1">
        <v>4</v>
      </c>
      <c r="F54" s="3">
        <v>5.8</v>
      </c>
    </row>
    <row r="55" spans="3:6" ht="11.25">
      <c r="C55" s="1">
        <v>84</v>
      </c>
      <c r="D55" s="1">
        <v>0.4</v>
      </c>
      <c r="E55" s="1">
        <v>1</v>
      </c>
      <c r="F55" s="3">
        <v>0.6</v>
      </c>
    </row>
    <row r="56" spans="2:6" ht="12">
      <c r="B56" s="2" t="s">
        <v>329</v>
      </c>
      <c r="E56" s="1">
        <v>2</v>
      </c>
      <c r="F56" s="3">
        <v>5</v>
      </c>
    </row>
    <row r="57" spans="1:6" ht="12">
      <c r="A57" s="30" t="s">
        <v>12</v>
      </c>
      <c r="B57" s="30"/>
      <c r="E57" s="1">
        <v>3</v>
      </c>
      <c r="F57" s="3">
        <v>5</v>
      </c>
    </row>
    <row r="58" spans="1:2" ht="12">
      <c r="A58" s="30" t="s">
        <v>16</v>
      </c>
      <c r="B58" s="30"/>
    </row>
    <row r="59" spans="3:6" ht="11.25">
      <c r="C59" s="1">
        <v>83</v>
      </c>
      <c r="E59" s="1">
        <v>1</v>
      </c>
      <c r="F59" s="3">
        <v>4</v>
      </c>
    </row>
    <row r="60" spans="2:6" ht="12">
      <c r="B60" s="2" t="s">
        <v>331</v>
      </c>
      <c r="E60" s="1">
        <v>2</v>
      </c>
      <c r="F60" s="3">
        <v>7.9</v>
      </c>
    </row>
    <row r="61" spans="5:6" ht="11.25">
      <c r="E61" s="1">
        <v>3</v>
      </c>
      <c r="F61" s="3">
        <v>7.9</v>
      </c>
    </row>
    <row r="63" spans="3:6" ht="11.25">
      <c r="C63" s="1">
        <v>84</v>
      </c>
      <c r="D63" s="1">
        <v>0.4</v>
      </c>
      <c r="E63" s="1">
        <v>1</v>
      </c>
      <c r="F63" s="3">
        <v>3.6</v>
      </c>
    </row>
    <row r="64" spans="2:6" ht="12">
      <c r="B64" s="2" t="s">
        <v>326</v>
      </c>
      <c r="E64" s="1">
        <v>2</v>
      </c>
      <c r="F64" s="3">
        <v>7.8</v>
      </c>
    </row>
    <row r="65" spans="5:6" ht="11.25">
      <c r="E65" s="1">
        <v>3</v>
      </c>
      <c r="F65" s="3">
        <v>10</v>
      </c>
    </row>
    <row r="66" spans="5:6" ht="11.25">
      <c r="E66" s="1">
        <v>4</v>
      </c>
      <c r="F66" s="3">
        <v>10</v>
      </c>
    </row>
    <row r="67" spans="3:6" ht="11.25">
      <c r="C67" s="1">
        <v>85</v>
      </c>
      <c r="D67" s="1">
        <v>0.39</v>
      </c>
      <c r="E67" s="1">
        <v>1</v>
      </c>
      <c r="F67" s="3">
        <v>2.1</v>
      </c>
    </row>
    <row r="68" spans="2:6" ht="12">
      <c r="B68" s="2" t="s">
        <v>327</v>
      </c>
      <c r="E68" s="1">
        <v>2</v>
      </c>
      <c r="F68" s="3">
        <v>8.1</v>
      </c>
    </row>
    <row r="69" spans="1:6" ht="12">
      <c r="A69" s="30" t="s">
        <v>13</v>
      </c>
      <c r="B69" s="30"/>
      <c r="E69" s="1">
        <v>3</v>
      </c>
      <c r="F69" s="3">
        <v>8.1</v>
      </c>
    </row>
    <row r="70" spans="1:2" ht="12">
      <c r="A70" s="30" t="s">
        <v>14</v>
      </c>
      <c r="B70" s="30"/>
    </row>
    <row r="71" spans="3:6" ht="11.25">
      <c r="C71" s="1">
        <v>85</v>
      </c>
      <c r="D71" s="1">
        <v>0.39</v>
      </c>
      <c r="E71" s="1">
        <v>1</v>
      </c>
      <c r="F71" s="3">
        <v>2</v>
      </c>
    </row>
    <row r="72" spans="2:6" ht="12">
      <c r="B72" s="2" t="s">
        <v>330</v>
      </c>
      <c r="E72" s="1">
        <v>2</v>
      </c>
      <c r="F72" s="3">
        <v>6.5</v>
      </c>
    </row>
    <row r="73" spans="1:5" ht="12">
      <c r="A73" s="30" t="s">
        <v>134</v>
      </c>
      <c r="B73" s="30"/>
      <c r="E73" s="1">
        <v>3</v>
      </c>
    </row>
    <row r="74" spans="1:2" ht="12">
      <c r="A74" s="30" t="s">
        <v>135</v>
      </c>
      <c r="B74" s="30"/>
    </row>
    <row r="75" spans="3:6" ht="11.25">
      <c r="C75" s="1">
        <v>84</v>
      </c>
      <c r="D75" s="1">
        <v>0.41</v>
      </c>
      <c r="E75" s="1">
        <v>1</v>
      </c>
      <c r="F75" s="3">
        <v>3.8</v>
      </c>
    </row>
    <row r="76" spans="2:6" ht="12">
      <c r="B76" s="2" t="s">
        <v>253</v>
      </c>
      <c r="E76" s="1">
        <v>2</v>
      </c>
      <c r="F76" s="3">
        <v>5.6</v>
      </c>
    </row>
    <row r="77" spans="1:6" ht="12">
      <c r="A77" s="30" t="s">
        <v>15</v>
      </c>
      <c r="B77" s="30"/>
      <c r="E77" s="1">
        <v>3</v>
      </c>
      <c r="F77" s="3">
        <v>11.2</v>
      </c>
    </row>
    <row r="78" spans="1:6" ht="12">
      <c r="A78" s="30" t="s">
        <v>16</v>
      </c>
      <c r="B78" s="30"/>
      <c r="E78" s="1">
        <v>4</v>
      </c>
      <c r="F78" s="3">
        <v>11.2</v>
      </c>
    </row>
    <row r="79" spans="3:6" ht="11.25">
      <c r="C79" s="1">
        <v>83</v>
      </c>
      <c r="D79" s="1">
        <v>0.39</v>
      </c>
      <c r="E79" s="1">
        <v>1</v>
      </c>
      <c r="F79" s="3">
        <v>1</v>
      </c>
    </row>
    <row r="80" spans="2:6" ht="12">
      <c r="B80" s="2" t="s">
        <v>320</v>
      </c>
      <c r="E80" s="1">
        <v>2</v>
      </c>
      <c r="F80" s="3">
        <v>5</v>
      </c>
    </row>
    <row r="81" spans="1:6" ht="12">
      <c r="A81" s="30" t="s">
        <v>17</v>
      </c>
      <c r="B81" s="30"/>
      <c r="E81" s="1">
        <v>3</v>
      </c>
      <c r="F81" s="3">
        <v>5</v>
      </c>
    </row>
    <row r="82" spans="1:2" ht="12">
      <c r="A82" s="30" t="s">
        <v>18</v>
      </c>
      <c r="B82" s="30"/>
    </row>
    <row r="86" ht="12">
      <c r="A86" s="2"/>
    </row>
    <row r="128" ht="12">
      <c r="A128" s="2"/>
    </row>
    <row r="138" ht="12">
      <c r="A138" s="2"/>
    </row>
    <row r="179" ht="12">
      <c r="A179" s="2"/>
    </row>
  </sheetData>
  <mergeCells count="12">
    <mergeCell ref="A82:B82"/>
    <mergeCell ref="A58:B58"/>
    <mergeCell ref="A70:B70"/>
    <mergeCell ref="A74:B74"/>
    <mergeCell ref="A78:B78"/>
    <mergeCell ref="A77:B77"/>
    <mergeCell ref="A81:B81"/>
    <mergeCell ref="A69:B69"/>
    <mergeCell ref="A73:B73"/>
    <mergeCell ref="A53:B53"/>
    <mergeCell ref="A57:B57"/>
    <mergeCell ref="A54:B5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F177"/>
  <sheetViews>
    <sheetView workbookViewId="0" topLeftCell="B1">
      <pane xSplit="5" ySplit="1" topLeftCell="G73" activePane="bottomRight" state="frozen"/>
      <selection pane="topLeft" activeCell="B1" sqref="B1"/>
      <selection pane="topRight" activeCell="D1" sqref="D1"/>
      <selection pane="bottomLeft" activeCell="B2" sqref="B2"/>
      <selection pane="bottomRight" activeCell="O59" sqref="O59"/>
    </sheetView>
  </sheetViews>
  <sheetFormatPr defaultColWidth="9.00390625" defaultRowHeight="14.25"/>
  <cols>
    <col min="1" max="1" width="6.125" style="1" customWidth="1"/>
    <col min="2" max="2" width="7.00390625" style="1" customWidth="1"/>
    <col min="3" max="3" width="6.125" style="1" customWidth="1"/>
    <col min="4" max="7" width="5.375" style="1" customWidth="1"/>
    <col min="8" max="8" width="4.875" style="3" customWidth="1"/>
    <col min="9" max="9" width="7.75390625" style="3" customWidth="1"/>
    <col min="10" max="10" width="4.875" style="3" customWidth="1"/>
    <col min="11" max="11" width="11.625" style="3" customWidth="1"/>
    <col min="12" max="33" width="4.875" style="3" customWidth="1"/>
    <col min="34" max="201" width="3.625" style="3" customWidth="1"/>
    <col min="202" max="16384" width="6.125" style="3" customWidth="1"/>
  </cols>
  <sheetData>
    <row r="1" spans="1:7" ht="24">
      <c r="A1" s="18" t="s">
        <v>195</v>
      </c>
      <c r="B1" s="22" t="s">
        <v>196</v>
      </c>
      <c r="C1" s="19" t="s">
        <v>197</v>
      </c>
      <c r="D1" s="19" t="s">
        <v>199</v>
      </c>
      <c r="E1" s="19" t="s">
        <v>268</v>
      </c>
      <c r="F1" s="2" t="s">
        <v>198</v>
      </c>
      <c r="G1" s="3"/>
    </row>
    <row r="2" spans="1:7" ht="12">
      <c r="A2" s="2" t="s">
        <v>37</v>
      </c>
      <c r="D2" s="1">
        <v>82</v>
      </c>
      <c r="E2" s="1">
        <v>0.41</v>
      </c>
      <c r="F2" s="1">
        <v>1</v>
      </c>
      <c r="G2" s="1">
        <v>3.2</v>
      </c>
    </row>
    <row r="3" spans="2:32" ht="12">
      <c r="B3" s="2" t="s">
        <v>296</v>
      </c>
      <c r="C3" s="2" t="s">
        <v>328</v>
      </c>
      <c r="F3" s="1">
        <v>2</v>
      </c>
      <c r="G3" s="1">
        <v>5</v>
      </c>
      <c r="H3" s="1"/>
      <c r="I3" s="1"/>
      <c r="J3" s="1"/>
      <c r="K3" s="1"/>
      <c r="L3" s="1"/>
      <c r="M3" s="1"/>
      <c r="N3" s="1"/>
      <c r="O3" s="1"/>
      <c r="P3" s="1"/>
      <c r="Q3" s="1"/>
      <c r="R3" s="1"/>
      <c r="S3" s="1"/>
      <c r="T3" s="1"/>
      <c r="U3" s="1"/>
      <c r="V3" s="1"/>
      <c r="W3" s="1"/>
      <c r="X3" s="1"/>
      <c r="Y3" s="1"/>
      <c r="Z3" s="1"/>
      <c r="AA3" s="1"/>
      <c r="AB3" s="1"/>
      <c r="AC3" s="1"/>
      <c r="AD3" s="1"/>
      <c r="AE3" s="1"/>
      <c r="AF3" s="1"/>
    </row>
    <row r="4" spans="6:32" ht="11.25">
      <c r="F4" s="1">
        <v>3</v>
      </c>
      <c r="G4" s="1">
        <v>5</v>
      </c>
      <c r="H4" s="7"/>
      <c r="I4" s="7"/>
      <c r="J4" s="7"/>
      <c r="K4" s="7"/>
      <c r="L4" s="7"/>
      <c r="M4" s="7"/>
      <c r="N4" s="7"/>
      <c r="O4" s="7"/>
      <c r="P4" s="7"/>
      <c r="Q4" s="7"/>
      <c r="R4" s="7"/>
      <c r="S4" s="7"/>
      <c r="T4" s="7"/>
      <c r="U4" s="7"/>
      <c r="V4" s="7"/>
      <c r="W4" s="7"/>
      <c r="X4" s="7"/>
      <c r="Y4" s="7"/>
      <c r="Z4" s="7"/>
      <c r="AA4" s="7"/>
      <c r="AB4" s="7"/>
      <c r="AC4" s="7"/>
      <c r="AD4" s="7"/>
      <c r="AE4" s="7"/>
      <c r="AF4" s="7"/>
    </row>
    <row r="5" spans="8:32" ht="11.25">
      <c r="H5" s="7"/>
      <c r="I5" s="7"/>
      <c r="J5" s="7"/>
      <c r="K5" s="7"/>
      <c r="L5" s="7"/>
      <c r="M5" s="7"/>
      <c r="N5" s="7"/>
      <c r="O5" s="7"/>
      <c r="P5" s="7"/>
      <c r="Q5" s="7"/>
      <c r="R5" s="7"/>
      <c r="S5" s="7"/>
      <c r="T5" s="7"/>
      <c r="U5" s="7"/>
      <c r="V5" s="7"/>
      <c r="W5" s="7"/>
      <c r="X5" s="7"/>
      <c r="Y5" s="7"/>
      <c r="Z5" s="7"/>
      <c r="AA5" s="7"/>
      <c r="AB5" s="7"/>
      <c r="AC5" s="7"/>
      <c r="AD5" s="7"/>
      <c r="AE5" s="7"/>
      <c r="AF5" s="7"/>
    </row>
    <row r="6" spans="3:32" ht="12">
      <c r="C6" s="2" t="s">
        <v>245</v>
      </c>
      <c r="D6" s="1">
        <v>83</v>
      </c>
      <c r="E6" s="1">
        <v>0.42</v>
      </c>
      <c r="F6" s="1">
        <v>1</v>
      </c>
      <c r="G6" s="1">
        <v>0.5</v>
      </c>
      <c r="H6" s="7"/>
      <c r="I6" s="7" t="s">
        <v>74</v>
      </c>
      <c r="J6" s="7">
        <v>9507</v>
      </c>
      <c r="K6" s="7"/>
      <c r="L6" s="7"/>
      <c r="M6" s="7"/>
      <c r="N6" s="7"/>
      <c r="O6" s="7"/>
      <c r="P6" s="7"/>
      <c r="Q6" s="7"/>
      <c r="R6" s="7"/>
      <c r="S6" s="7"/>
      <c r="T6" s="7"/>
      <c r="U6" s="7"/>
      <c r="V6" s="7"/>
      <c r="W6" s="7"/>
      <c r="X6" s="7"/>
      <c r="Y6" s="7"/>
      <c r="Z6" s="7"/>
      <c r="AA6" s="7"/>
      <c r="AB6" s="7"/>
      <c r="AC6" s="7"/>
      <c r="AD6" s="7"/>
      <c r="AE6" s="7"/>
      <c r="AF6" s="7"/>
    </row>
    <row r="7" spans="6:32" ht="11.25">
      <c r="F7" s="1">
        <v>2</v>
      </c>
      <c r="G7" s="1">
        <v>3.8</v>
      </c>
      <c r="H7" s="7"/>
      <c r="I7" s="7"/>
      <c r="J7" s="7"/>
      <c r="K7" s="7"/>
      <c r="L7" s="7"/>
      <c r="M7" s="7"/>
      <c r="N7" s="7"/>
      <c r="O7" s="7"/>
      <c r="P7" s="7"/>
      <c r="Q7" s="7"/>
      <c r="R7" s="7"/>
      <c r="S7" s="7"/>
      <c r="T7" s="7"/>
      <c r="U7" s="7"/>
      <c r="V7" s="7"/>
      <c r="W7" s="7"/>
      <c r="X7" s="7"/>
      <c r="Y7" s="7"/>
      <c r="Z7" s="7"/>
      <c r="AA7" s="7"/>
      <c r="AB7" s="7"/>
      <c r="AC7" s="7"/>
      <c r="AD7" s="7"/>
      <c r="AE7" s="7"/>
      <c r="AF7" s="7"/>
    </row>
    <row r="8" spans="6:32" ht="11.25">
      <c r="F8" s="1">
        <v>3</v>
      </c>
      <c r="G8" s="1">
        <v>8.2</v>
      </c>
      <c r="H8" s="7"/>
      <c r="I8" s="7" t="s">
        <v>42</v>
      </c>
      <c r="J8" s="7" t="s">
        <v>43</v>
      </c>
      <c r="K8" s="7" t="s">
        <v>44</v>
      </c>
      <c r="L8" s="7" t="s">
        <v>45</v>
      </c>
      <c r="M8" s="7"/>
      <c r="N8" s="7"/>
      <c r="O8" s="7"/>
      <c r="P8" s="7"/>
      <c r="Q8" s="7"/>
      <c r="R8" s="7"/>
      <c r="S8" s="7"/>
      <c r="T8" s="7"/>
      <c r="U8" s="7"/>
      <c r="V8" s="7"/>
      <c r="W8" s="7"/>
      <c r="X8" s="7"/>
      <c r="Y8" s="7"/>
      <c r="Z8" s="7"/>
      <c r="AA8" s="7"/>
      <c r="AB8" s="7"/>
      <c r="AC8" s="7"/>
      <c r="AD8" s="7"/>
      <c r="AE8" s="7"/>
      <c r="AF8" s="7"/>
    </row>
    <row r="9" spans="6:32" ht="12">
      <c r="F9" s="1">
        <v>4</v>
      </c>
      <c r="G9" s="1">
        <v>8.2</v>
      </c>
      <c r="H9" s="7"/>
      <c r="I9" s="7"/>
      <c r="J9" s="7"/>
      <c r="K9" s="7"/>
      <c r="L9" s="13" t="s">
        <v>203</v>
      </c>
      <c r="M9" s="7"/>
      <c r="N9" s="7"/>
      <c r="O9" s="7"/>
      <c r="P9" s="7"/>
      <c r="Q9" s="7"/>
      <c r="R9" s="7"/>
      <c r="S9" s="7"/>
      <c r="T9" s="7"/>
      <c r="U9" s="7"/>
      <c r="V9" s="7"/>
      <c r="W9" s="7"/>
      <c r="X9" s="7"/>
      <c r="Y9" s="7"/>
      <c r="Z9" s="7"/>
      <c r="AA9" s="7"/>
      <c r="AB9" s="7"/>
      <c r="AC9" s="7"/>
      <c r="AD9" s="7"/>
      <c r="AE9" s="7"/>
      <c r="AF9" s="7"/>
    </row>
    <row r="10" spans="3:32" ht="12">
      <c r="C10" s="2" t="s">
        <v>321</v>
      </c>
      <c r="D10" s="1">
        <v>83</v>
      </c>
      <c r="E10" s="1">
        <v>0.4</v>
      </c>
      <c r="F10" s="1">
        <v>1</v>
      </c>
      <c r="G10" s="1">
        <v>0.5</v>
      </c>
      <c r="H10" s="7"/>
      <c r="I10" s="10">
        <v>36996</v>
      </c>
      <c r="J10" s="7">
        <v>20</v>
      </c>
      <c r="K10" s="7">
        <v>70</v>
      </c>
      <c r="L10" s="7">
        <v>31</v>
      </c>
      <c r="M10" s="7"/>
      <c r="N10" s="7"/>
      <c r="O10" s="7"/>
      <c r="P10" s="7"/>
      <c r="Q10" s="7"/>
      <c r="R10" s="7"/>
      <c r="S10" s="7"/>
      <c r="T10" s="7"/>
      <c r="U10" s="7"/>
      <c r="V10" s="7"/>
      <c r="W10" s="7"/>
      <c r="X10" s="7"/>
      <c r="Y10" s="7"/>
      <c r="Z10" s="7"/>
      <c r="AA10" s="7"/>
      <c r="AB10" s="7"/>
      <c r="AC10" s="7"/>
      <c r="AD10" s="7"/>
      <c r="AE10" s="7"/>
      <c r="AF10" s="7"/>
    </row>
    <row r="11" spans="6:25" ht="11.25">
      <c r="F11" s="1">
        <v>2</v>
      </c>
      <c r="G11" s="1">
        <v>4.3</v>
      </c>
      <c r="H11" s="6"/>
      <c r="I11" s="6"/>
      <c r="J11" s="6"/>
      <c r="K11" s="6"/>
      <c r="L11" s="6"/>
      <c r="M11" s="6" t="s">
        <v>75</v>
      </c>
      <c r="N11" s="6" t="s">
        <v>76</v>
      </c>
      <c r="O11" s="6" t="s">
        <v>77</v>
      </c>
      <c r="P11" s="6" t="s">
        <v>78</v>
      </c>
      <c r="Q11" s="6" t="s">
        <v>79</v>
      </c>
      <c r="R11" s="6" t="s">
        <v>80</v>
      </c>
      <c r="S11" s="6" t="s">
        <v>81</v>
      </c>
      <c r="T11" s="6" t="s">
        <v>82</v>
      </c>
      <c r="U11" s="6" t="s">
        <v>83</v>
      </c>
      <c r="V11" s="6" t="s">
        <v>84</v>
      </c>
      <c r="W11" s="6" t="s">
        <v>85</v>
      </c>
      <c r="X11" s="6" t="s">
        <v>86</v>
      </c>
      <c r="Y11" s="6"/>
    </row>
    <row r="12" spans="6:23" ht="12">
      <c r="F12" s="1">
        <v>3</v>
      </c>
      <c r="G12" s="1">
        <v>4.3</v>
      </c>
      <c r="M12" s="4" t="s">
        <v>240</v>
      </c>
      <c r="W12" s="4" t="s">
        <v>241</v>
      </c>
    </row>
    <row r="13" spans="8:23" ht="12">
      <c r="H13" s="23" t="s">
        <v>210</v>
      </c>
      <c r="L13" s="3" t="s">
        <v>96</v>
      </c>
      <c r="M13" s="3">
        <v>20.236627950000003</v>
      </c>
      <c r="N13" s="3">
        <v>11.699324374999998</v>
      </c>
      <c r="O13" s="3">
        <v>2.87</v>
      </c>
      <c r="P13" s="3">
        <v>1.5298660050000001</v>
      </c>
      <c r="Q13" s="3">
        <v>0.329291333</v>
      </c>
      <c r="R13" s="3">
        <v>0</v>
      </c>
      <c r="S13" s="3">
        <v>0</v>
      </c>
      <c r="T13" s="3">
        <v>0</v>
      </c>
      <c r="U13" s="3">
        <v>0</v>
      </c>
      <c r="V13" s="3">
        <v>0</v>
      </c>
      <c r="W13" s="3">
        <f>SUM(M13:V13)</f>
        <v>36.665109663</v>
      </c>
    </row>
    <row r="14" spans="3:23" ht="12">
      <c r="C14" s="2" t="s">
        <v>248</v>
      </c>
      <c r="D14" s="1">
        <v>81</v>
      </c>
      <c r="E14" s="1">
        <v>0.41</v>
      </c>
      <c r="F14" s="1">
        <v>1</v>
      </c>
      <c r="G14" s="1">
        <v>2</v>
      </c>
      <c r="H14" s="23" t="s">
        <v>211</v>
      </c>
      <c r="L14" s="3" t="s">
        <v>88</v>
      </c>
      <c r="M14" s="3">
        <f>M13/$W$13</f>
        <v>0.5519314720725209</v>
      </c>
      <c r="N14" s="3">
        <f aca="true" t="shared" si="0" ref="N14:V14">N13/$W$13</f>
        <v>0.31908603253970846</v>
      </c>
      <c r="O14" s="3">
        <f t="shared" si="0"/>
        <v>0.07827605116632759</v>
      </c>
      <c r="P14" s="3">
        <f t="shared" si="0"/>
        <v>0.041725390134148145</v>
      </c>
      <c r="Q14" s="3">
        <f t="shared" si="0"/>
        <v>0.008981054087294849</v>
      </c>
      <c r="R14" s="3">
        <f t="shared" si="0"/>
        <v>0</v>
      </c>
      <c r="S14" s="3">
        <f t="shared" si="0"/>
        <v>0</v>
      </c>
      <c r="T14" s="3">
        <f t="shared" si="0"/>
        <v>0</v>
      </c>
      <c r="U14" s="3">
        <f t="shared" si="0"/>
        <v>0</v>
      </c>
      <c r="V14" s="3">
        <f t="shared" si="0"/>
        <v>0</v>
      </c>
      <c r="W14" s="3">
        <f aca="true" t="shared" si="1" ref="W14:W19">SUM(M14:V14)</f>
        <v>1</v>
      </c>
    </row>
    <row r="15" spans="6:23" ht="12">
      <c r="F15" s="1">
        <v>2</v>
      </c>
      <c r="G15" s="1">
        <v>6.5</v>
      </c>
      <c r="H15" s="23" t="s">
        <v>212</v>
      </c>
      <c r="L15" s="3" t="s">
        <v>94</v>
      </c>
      <c r="M15" s="3">
        <v>35.46379375</v>
      </c>
      <c r="N15" s="3">
        <v>55.768867449999995</v>
      </c>
      <c r="O15" s="3">
        <v>62.21823500000001</v>
      </c>
      <c r="P15" s="3">
        <v>40.413810424999994</v>
      </c>
      <c r="Q15" s="3">
        <v>11.199994</v>
      </c>
      <c r="R15" s="3">
        <v>0</v>
      </c>
      <c r="S15" s="3">
        <v>0</v>
      </c>
      <c r="T15" s="3">
        <v>0</v>
      </c>
      <c r="U15" s="3">
        <v>0</v>
      </c>
      <c r="V15" s="3">
        <v>0</v>
      </c>
      <c r="W15" s="3">
        <f t="shared" si="1"/>
        <v>205.064700625</v>
      </c>
    </row>
    <row r="16" spans="6:23" ht="12">
      <c r="F16" s="1">
        <v>3</v>
      </c>
      <c r="G16" s="1">
        <v>8.6</v>
      </c>
      <c r="H16" s="23" t="s">
        <v>213</v>
      </c>
      <c r="L16" s="3" t="s">
        <v>95</v>
      </c>
      <c r="M16" s="3">
        <v>38.984345499999996</v>
      </c>
      <c r="N16" s="3">
        <v>55.114166350000005</v>
      </c>
      <c r="O16" s="3">
        <v>57.525</v>
      </c>
      <c r="P16" s="3">
        <v>40.15</v>
      </c>
      <c r="Q16" s="3">
        <v>11.2</v>
      </c>
      <c r="R16" s="3">
        <v>0</v>
      </c>
      <c r="S16" s="3">
        <v>0</v>
      </c>
      <c r="T16" s="3">
        <v>0</v>
      </c>
      <c r="U16" s="3">
        <v>0</v>
      </c>
      <c r="V16" s="3">
        <v>0</v>
      </c>
      <c r="W16" s="3">
        <f t="shared" si="1"/>
        <v>202.97351185</v>
      </c>
    </row>
    <row r="17" spans="6:23" ht="12">
      <c r="F17" s="1">
        <v>4</v>
      </c>
      <c r="G17" s="1">
        <v>8.6</v>
      </c>
      <c r="H17" s="23" t="s">
        <v>214</v>
      </c>
      <c r="L17" s="3" t="s">
        <v>89</v>
      </c>
      <c r="M17" s="3">
        <f>3.1415926*0.41*10</f>
        <v>12.88052966</v>
      </c>
      <c r="N17" s="3">
        <f>3.1415926*0.41*5</f>
        <v>6.44026483</v>
      </c>
      <c r="O17" s="3">
        <f>3.1415926*0.41*5</f>
        <v>6.44026483</v>
      </c>
      <c r="P17" s="3">
        <f>3.1415926*0.41*5</f>
        <v>6.44026483</v>
      </c>
      <c r="Q17" s="3">
        <f>3.1415926*0.41*2</f>
        <v>2.576105932</v>
      </c>
      <c r="R17" s="3">
        <v>0</v>
      </c>
      <c r="S17" s="3">
        <v>0</v>
      </c>
      <c r="T17" s="3">
        <v>0</v>
      </c>
      <c r="U17" s="3">
        <v>0</v>
      </c>
      <c r="V17" s="3">
        <v>0</v>
      </c>
      <c r="W17" s="3">
        <f t="shared" si="1"/>
        <v>34.777430082</v>
      </c>
    </row>
    <row r="18" spans="3:23" ht="12">
      <c r="C18" s="2" t="s">
        <v>301</v>
      </c>
      <c r="D18" s="1">
        <v>82</v>
      </c>
      <c r="E18" s="1">
        <v>0.4</v>
      </c>
      <c r="F18" s="1">
        <v>1</v>
      </c>
      <c r="G18" s="1">
        <v>3.6</v>
      </c>
      <c r="H18" s="23" t="s">
        <v>215</v>
      </c>
      <c r="L18" s="3" t="s">
        <v>90</v>
      </c>
      <c r="M18" s="3">
        <f aca="true" t="shared" si="2" ref="M18:W18">M17/$W$17</f>
        <v>0.37037037037037035</v>
      </c>
      <c r="N18" s="3">
        <f t="shared" si="2"/>
        <v>0.18518518518518517</v>
      </c>
      <c r="O18" s="3">
        <f t="shared" si="2"/>
        <v>0.18518518518518517</v>
      </c>
      <c r="P18" s="3">
        <f t="shared" si="2"/>
        <v>0.18518518518518517</v>
      </c>
      <c r="Q18" s="3">
        <f t="shared" si="2"/>
        <v>0.07407407407407407</v>
      </c>
      <c r="R18" s="3">
        <f t="shared" si="2"/>
        <v>0</v>
      </c>
      <c r="S18" s="3">
        <f t="shared" si="2"/>
        <v>0</v>
      </c>
      <c r="T18" s="3">
        <f t="shared" si="2"/>
        <v>0</v>
      </c>
      <c r="U18" s="3">
        <f t="shared" si="2"/>
        <v>0</v>
      </c>
      <c r="V18" s="3">
        <f t="shared" si="2"/>
        <v>0</v>
      </c>
      <c r="W18" s="3">
        <f t="shared" si="2"/>
        <v>1</v>
      </c>
    </row>
    <row r="19" spans="6:23" ht="12">
      <c r="F19" s="1">
        <v>2</v>
      </c>
      <c r="G19" s="1">
        <v>10.2</v>
      </c>
      <c r="H19" s="23" t="s">
        <v>216</v>
      </c>
      <c r="L19" s="3" t="s">
        <v>91</v>
      </c>
      <c r="M19" s="3">
        <v>0</v>
      </c>
      <c r="N19" s="3">
        <v>0</v>
      </c>
      <c r="O19" s="3">
        <v>0</v>
      </c>
      <c r="P19" s="3">
        <v>0</v>
      </c>
      <c r="Q19" s="3">
        <v>0</v>
      </c>
      <c r="R19" s="3">
        <v>0</v>
      </c>
      <c r="S19" s="3">
        <v>0</v>
      </c>
      <c r="T19" s="3">
        <v>0</v>
      </c>
      <c r="U19" s="3">
        <v>0</v>
      </c>
      <c r="V19" s="3">
        <v>0</v>
      </c>
      <c r="W19" s="3">
        <f t="shared" si="1"/>
        <v>0</v>
      </c>
    </row>
    <row r="20" spans="6:23" ht="12">
      <c r="F20" s="1">
        <v>3</v>
      </c>
      <c r="G20" s="1">
        <v>10.2</v>
      </c>
      <c r="H20" s="23" t="s">
        <v>217</v>
      </c>
      <c r="L20" s="3" t="s">
        <v>92</v>
      </c>
      <c r="M20" s="3">
        <v>0</v>
      </c>
      <c r="N20" s="3">
        <v>0</v>
      </c>
      <c r="O20" s="3">
        <v>0</v>
      </c>
      <c r="P20" s="3">
        <v>0</v>
      </c>
      <c r="Q20" s="3">
        <v>0</v>
      </c>
      <c r="R20" s="3">
        <v>0</v>
      </c>
      <c r="S20" s="3">
        <v>0</v>
      </c>
      <c r="T20" s="3">
        <v>0</v>
      </c>
      <c r="U20" s="3">
        <v>0</v>
      </c>
      <c r="V20" s="3">
        <v>0</v>
      </c>
      <c r="W20" s="3">
        <v>0</v>
      </c>
    </row>
    <row r="21" spans="8:23" ht="12">
      <c r="H21" s="23" t="s">
        <v>218</v>
      </c>
      <c r="L21" s="3" t="s">
        <v>93</v>
      </c>
      <c r="M21" s="3">
        <f>M13+M17+M19</f>
        <v>33.11715761000001</v>
      </c>
      <c r="N21" s="3">
        <f aca="true" t="shared" si="3" ref="N21:W21">N13+N17+N19</f>
        <v>18.139589205</v>
      </c>
      <c r="O21" s="3">
        <f t="shared" si="3"/>
        <v>9.310264830000001</v>
      </c>
      <c r="P21" s="3">
        <f t="shared" si="3"/>
        <v>7.970130835000001</v>
      </c>
      <c r="Q21" s="3">
        <f t="shared" si="3"/>
        <v>2.905397265</v>
      </c>
      <c r="R21" s="3">
        <f>R13+R17+R19</f>
        <v>0</v>
      </c>
      <c r="S21" s="3">
        <f t="shared" si="3"/>
        <v>0</v>
      </c>
      <c r="T21" s="3">
        <f t="shared" si="3"/>
        <v>0</v>
      </c>
      <c r="U21" s="3">
        <f t="shared" si="3"/>
        <v>0</v>
      </c>
      <c r="V21" s="3">
        <f t="shared" si="3"/>
        <v>0</v>
      </c>
      <c r="W21" s="3">
        <f t="shared" si="3"/>
        <v>71.442539745</v>
      </c>
    </row>
    <row r="22" spans="3:23" ht="12">
      <c r="C22" s="2" t="s">
        <v>328</v>
      </c>
      <c r="D22" s="1">
        <v>80</v>
      </c>
      <c r="E22" s="1">
        <v>0.39</v>
      </c>
      <c r="F22" s="1">
        <v>1</v>
      </c>
      <c r="G22" s="1">
        <v>2.5</v>
      </c>
      <c r="H22" s="23" t="s">
        <v>219</v>
      </c>
      <c r="L22" s="3" t="s">
        <v>93</v>
      </c>
      <c r="M22" s="3">
        <f>M21/$W$21</f>
        <v>0.46354955644361384</v>
      </c>
      <c r="N22" s="3">
        <f aca="true" t="shared" si="4" ref="N22:W22">N21/$W$21</f>
        <v>0.2539045961936078</v>
      </c>
      <c r="O22" s="3">
        <f t="shared" si="4"/>
        <v>0.13031822305353571</v>
      </c>
      <c r="P22" s="3">
        <f t="shared" si="4"/>
        <v>0.11156001541165536</v>
      </c>
      <c r="Q22" s="3">
        <f t="shared" si="4"/>
        <v>0.040667608897587346</v>
      </c>
      <c r="R22" s="3">
        <f t="shared" si="4"/>
        <v>0</v>
      </c>
      <c r="S22" s="3">
        <f t="shared" si="4"/>
        <v>0</v>
      </c>
      <c r="T22" s="3">
        <f t="shared" si="4"/>
        <v>0</v>
      </c>
      <c r="U22" s="3">
        <f t="shared" si="4"/>
        <v>0</v>
      </c>
      <c r="V22" s="3">
        <f t="shared" si="4"/>
        <v>0</v>
      </c>
      <c r="W22" s="3">
        <f t="shared" si="4"/>
        <v>1</v>
      </c>
    </row>
    <row r="23" spans="6:32" ht="11.25">
      <c r="F23" s="1">
        <v>2</v>
      </c>
      <c r="G23" s="1">
        <v>4.5</v>
      </c>
      <c r="H23" s="7"/>
      <c r="I23" s="7"/>
      <c r="J23" s="7"/>
      <c r="K23" s="7"/>
      <c r="L23" s="7" t="s">
        <v>46</v>
      </c>
      <c r="M23" s="7" t="s">
        <v>47</v>
      </c>
      <c r="N23" s="11">
        <v>37021</v>
      </c>
      <c r="O23" s="11">
        <v>37179</v>
      </c>
      <c r="P23" s="7" t="s">
        <v>48</v>
      </c>
      <c r="Q23" s="7" t="s">
        <v>49</v>
      </c>
      <c r="R23" s="7" t="s">
        <v>50</v>
      </c>
      <c r="S23" s="7" t="s">
        <v>51</v>
      </c>
      <c r="T23" s="7" t="s">
        <v>52</v>
      </c>
      <c r="U23" s="7" t="s">
        <v>53</v>
      </c>
      <c r="V23" s="7" t="s">
        <v>54</v>
      </c>
      <c r="W23" s="7" t="s">
        <v>55</v>
      </c>
      <c r="X23" s="7" t="s">
        <v>56</v>
      </c>
      <c r="Y23" s="7" t="s">
        <v>57</v>
      </c>
      <c r="Z23" s="7" t="s">
        <v>58</v>
      </c>
      <c r="AA23" s="7" t="s">
        <v>59</v>
      </c>
      <c r="AB23" s="7" t="s">
        <v>60</v>
      </c>
      <c r="AC23" s="7" t="s">
        <v>61</v>
      </c>
      <c r="AD23" s="7" t="s">
        <v>62</v>
      </c>
      <c r="AE23" s="7" t="s">
        <v>63</v>
      </c>
      <c r="AF23" s="7"/>
    </row>
    <row r="24" spans="6:32" ht="12">
      <c r="F24" s="1">
        <v>3</v>
      </c>
      <c r="G24" s="1">
        <v>4.5</v>
      </c>
      <c r="H24" s="7"/>
      <c r="I24" s="7"/>
      <c r="J24" s="7"/>
      <c r="K24" s="7"/>
      <c r="L24" s="13" t="s">
        <v>234</v>
      </c>
      <c r="M24" s="7"/>
      <c r="N24" s="12"/>
      <c r="O24" s="12"/>
      <c r="P24" s="7"/>
      <c r="Q24" s="7"/>
      <c r="R24" s="7"/>
      <c r="S24" s="7"/>
      <c r="T24" s="7"/>
      <c r="U24" s="7"/>
      <c r="V24" s="7"/>
      <c r="W24" s="7"/>
      <c r="X24" s="7"/>
      <c r="Y24" s="7"/>
      <c r="Z24" s="7"/>
      <c r="AA24" s="7"/>
      <c r="AB24" s="7"/>
      <c r="AC24" s="7"/>
      <c r="AD24" s="7"/>
      <c r="AE24" s="13" t="s">
        <v>242</v>
      </c>
      <c r="AF24" s="7"/>
    </row>
    <row r="25" spans="4:32" ht="12">
      <c r="D25" s="1">
        <v>81</v>
      </c>
      <c r="E25" s="1">
        <v>0.4</v>
      </c>
      <c r="F25" s="1">
        <v>1</v>
      </c>
      <c r="G25" s="1">
        <v>1.5</v>
      </c>
      <c r="H25" s="13" t="s">
        <v>220</v>
      </c>
      <c r="I25" s="7"/>
      <c r="J25" s="7"/>
      <c r="K25" s="7"/>
      <c r="L25" s="7" t="s">
        <v>97</v>
      </c>
      <c r="M25" s="7">
        <v>6.33899585</v>
      </c>
      <c r="N25" s="7">
        <v>0.40406584</v>
      </c>
      <c r="O25" s="7">
        <v>5.54606355</v>
      </c>
      <c r="P25" s="7">
        <v>1.3161809</v>
      </c>
      <c r="Q25" s="7">
        <v>0.61155415</v>
      </c>
      <c r="R25" s="7">
        <v>2.3270025000000003</v>
      </c>
      <c r="S25" s="7">
        <v>1.2239274500000001</v>
      </c>
      <c r="T25" s="7">
        <v>1.361645865</v>
      </c>
      <c r="U25" s="7">
        <v>0.65179165</v>
      </c>
      <c r="V25" s="7">
        <v>1.5358651</v>
      </c>
      <c r="W25" s="7">
        <v>0.6528125</v>
      </c>
      <c r="X25" s="7">
        <v>0.7991708</v>
      </c>
      <c r="Y25" s="7">
        <v>1.0000333449999999</v>
      </c>
      <c r="Z25" s="7">
        <v>2.62585495</v>
      </c>
      <c r="AA25" s="7">
        <v>1.4203831500000001</v>
      </c>
      <c r="AB25" s="7">
        <v>1.9736424500000005</v>
      </c>
      <c r="AC25" s="7">
        <v>1.22975411</v>
      </c>
      <c r="AD25" s="7">
        <v>1.6175915824999998</v>
      </c>
      <c r="AE25" s="7">
        <f>SUM(M25:AD25)</f>
        <v>32.636335742499995</v>
      </c>
      <c r="AF25" s="7"/>
    </row>
    <row r="26" spans="3:32" ht="12">
      <c r="C26" s="2" t="s">
        <v>325</v>
      </c>
      <c r="F26" s="1">
        <v>2</v>
      </c>
      <c r="G26" s="1">
        <v>6</v>
      </c>
      <c r="H26" s="13" t="s">
        <v>221</v>
      </c>
      <c r="I26" s="7"/>
      <c r="J26" s="7"/>
      <c r="K26" s="7"/>
      <c r="L26" s="7" t="s">
        <v>64</v>
      </c>
      <c r="M26" s="7">
        <v>0</v>
      </c>
      <c r="N26" s="7">
        <v>0</v>
      </c>
      <c r="O26" s="7">
        <v>0</v>
      </c>
      <c r="P26" s="7">
        <v>0</v>
      </c>
      <c r="Q26" s="7">
        <v>0</v>
      </c>
      <c r="R26" s="7">
        <v>0</v>
      </c>
      <c r="S26" s="7">
        <v>0</v>
      </c>
      <c r="T26" s="7">
        <v>0</v>
      </c>
      <c r="U26" s="7">
        <v>0</v>
      </c>
      <c r="V26" s="7">
        <v>0</v>
      </c>
      <c r="W26" s="7">
        <v>0</v>
      </c>
      <c r="X26" s="7">
        <v>0</v>
      </c>
      <c r="Y26" s="7">
        <v>0</v>
      </c>
      <c r="Z26" s="7">
        <v>0</v>
      </c>
      <c r="AA26" s="7">
        <v>0</v>
      </c>
      <c r="AB26" s="7">
        <v>0</v>
      </c>
      <c r="AC26" s="7">
        <f>3.1415*0.41*24</f>
        <v>30.91236</v>
      </c>
      <c r="AD26" s="7">
        <v>0</v>
      </c>
      <c r="AE26" s="7">
        <f>SUM(M14:AD14)</f>
        <v>2</v>
      </c>
      <c r="AF26" s="7"/>
    </row>
    <row r="27" spans="6:32" ht="12">
      <c r="F27" s="1">
        <v>3</v>
      </c>
      <c r="G27" s="1">
        <v>6</v>
      </c>
      <c r="H27" s="13" t="s">
        <v>222</v>
      </c>
      <c r="I27" s="7"/>
      <c r="J27" s="7"/>
      <c r="K27" s="7"/>
      <c r="L27" s="7" t="s">
        <v>65</v>
      </c>
      <c r="M27" s="7">
        <f>M25+M26</f>
        <v>6.33899585</v>
      </c>
      <c r="N27" s="7">
        <f aca="true" t="shared" si="5" ref="N27:AD27">N25+N26</f>
        <v>0.40406584</v>
      </c>
      <c r="O27" s="7">
        <f t="shared" si="5"/>
        <v>5.54606355</v>
      </c>
      <c r="P27" s="7">
        <f t="shared" si="5"/>
        <v>1.3161809</v>
      </c>
      <c r="Q27" s="7">
        <f t="shared" si="5"/>
        <v>0.61155415</v>
      </c>
      <c r="R27" s="7">
        <f t="shared" si="5"/>
        <v>2.3270025000000003</v>
      </c>
      <c r="S27" s="7">
        <f t="shared" si="5"/>
        <v>1.2239274500000001</v>
      </c>
      <c r="T27" s="7">
        <f t="shared" si="5"/>
        <v>1.361645865</v>
      </c>
      <c r="U27" s="7">
        <f t="shared" si="5"/>
        <v>0.65179165</v>
      </c>
      <c r="V27" s="7">
        <f t="shared" si="5"/>
        <v>1.5358651</v>
      </c>
      <c r="W27" s="7">
        <f t="shared" si="5"/>
        <v>0.6528125</v>
      </c>
      <c r="X27" s="7">
        <f t="shared" si="5"/>
        <v>0.7991708</v>
      </c>
      <c r="Y27" s="7">
        <f t="shared" si="5"/>
        <v>1.0000333449999999</v>
      </c>
      <c r="Z27" s="7">
        <f t="shared" si="5"/>
        <v>2.62585495</v>
      </c>
      <c r="AA27" s="7">
        <f t="shared" si="5"/>
        <v>1.4203831500000001</v>
      </c>
      <c r="AB27" s="7">
        <f t="shared" si="5"/>
        <v>1.9736424500000005</v>
      </c>
      <c r="AC27" s="7">
        <f t="shared" si="5"/>
        <v>32.14211411</v>
      </c>
      <c r="AD27" s="7">
        <f t="shared" si="5"/>
        <v>1.6175915824999998</v>
      </c>
      <c r="AE27" s="7">
        <f>SUM(M27:AD27)</f>
        <v>63.548695742499994</v>
      </c>
      <c r="AF27" s="7"/>
    </row>
    <row r="28" spans="8:32" ht="12">
      <c r="H28" s="13" t="s">
        <v>223</v>
      </c>
      <c r="I28" s="7"/>
      <c r="J28" s="7"/>
      <c r="K28" s="7"/>
      <c r="L28" s="7" t="s">
        <v>66</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row>
    <row r="29" spans="4:32" ht="12">
      <c r="D29" s="1">
        <v>82</v>
      </c>
      <c r="E29" s="1">
        <v>0.4</v>
      </c>
      <c r="F29" s="1">
        <v>1</v>
      </c>
      <c r="G29" s="1">
        <v>3</v>
      </c>
      <c r="H29" s="13" t="s">
        <v>224</v>
      </c>
      <c r="I29" s="7"/>
      <c r="J29" s="7"/>
      <c r="K29" s="7"/>
      <c r="L29" s="7" t="s">
        <v>67</v>
      </c>
      <c r="M29" s="7">
        <f aca="true" t="shared" si="6" ref="M29:AE29">M27+M28</f>
        <v>6.33899585</v>
      </c>
      <c r="N29" s="7">
        <f t="shared" si="6"/>
        <v>0.40406584</v>
      </c>
      <c r="O29" s="7">
        <f t="shared" si="6"/>
        <v>5.54606355</v>
      </c>
      <c r="P29" s="7">
        <f t="shared" si="6"/>
        <v>1.3161809</v>
      </c>
      <c r="Q29" s="7">
        <f t="shared" si="6"/>
        <v>0.61155415</v>
      </c>
      <c r="R29" s="7">
        <f t="shared" si="6"/>
        <v>2.3270025000000003</v>
      </c>
      <c r="S29" s="7">
        <f t="shared" si="6"/>
        <v>1.2239274500000001</v>
      </c>
      <c r="T29" s="7">
        <f t="shared" si="6"/>
        <v>1.361645865</v>
      </c>
      <c r="U29" s="7">
        <f t="shared" si="6"/>
        <v>0.65179165</v>
      </c>
      <c r="V29" s="7">
        <f t="shared" si="6"/>
        <v>1.5358651</v>
      </c>
      <c r="W29" s="7">
        <f t="shared" si="6"/>
        <v>0.6528125</v>
      </c>
      <c r="X29" s="7">
        <f t="shared" si="6"/>
        <v>0.7991708</v>
      </c>
      <c r="Y29" s="7">
        <f t="shared" si="6"/>
        <v>1.0000333449999999</v>
      </c>
      <c r="Z29" s="7">
        <f t="shared" si="6"/>
        <v>2.62585495</v>
      </c>
      <c r="AA29" s="7">
        <f t="shared" si="6"/>
        <v>1.4203831500000001</v>
      </c>
      <c r="AB29" s="7">
        <f t="shared" si="6"/>
        <v>1.9736424500000005</v>
      </c>
      <c r="AC29" s="7">
        <f t="shared" si="6"/>
        <v>32.14211411</v>
      </c>
      <c r="AD29" s="7">
        <f t="shared" si="6"/>
        <v>1.6175915824999998</v>
      </c>
      <c r="AE29" s="7">
        <f t="shared" si="6"/>
        <v>63.548695742499994</v>
      </c>
      <c r="AF29" s="7"/>
    </row>
    <row r="30" spans="3:32" ht="12">
      <c r="C30" s="2" t="s">
        <v>298</v>
      </c>
      <c r="F30" s="1">
        <v>2</v>
      </c>
      <c r="G30" s="1">
        <v>3.8</v>
      </c>
      <c r="H30" s="13" t="s">
        <v>225</v>
      </c>
      <c r="I30" s="7"/>
      <c r="J30" s="7"/>
      <c r="K30" s="7"/>
      <c r="L30" s="7" t="s">
        <v>68</v>
      </c>
      <c r="M30" s="7">
        <f>M25/AE25</f>
        <v>0.19423123661965438</v>
      </c>
      <c r="N30" s="7">
        <f>N25/AE25</f>
        <v>0.012380858046934895</v>
      </c>
      <c r="O30" s="7">
        <f>O25/AE25</f>
        <v>0.1699352400881743</v>
      </c>
      <c r="P30" s="7">
        <f>P25/AE25</f>
        <v>0.040328697142492945</v>
      </c>
      <c r="Q30" s="7">
        <f>Q25/AE25</f>
        <v>0.018738444009926525</v>
      </c>
      <c r="R30" s="7">
        <f>R25/AE25</f>
        <v>0.07130097319625589</v>
      </c>
      <c r="S30" s="7">
        <f>S25/AE25</f>
        <v>0.03750198734492628</v>
      </c>
      <c r="T30" s="7">
        <f>T25/AE25</f>
        <v>0.041721775255143756</v>
      </c>
      <c r="U30" s="7">
        <f>U25/AE25</f>
        <v>0.019971348963395353</v>
      </c>
      <c r="V30" s="7">
        <f>V25/AE25</f>
        <v>0.047059973647714116</v>
      </c>
      <c r="W30" s="7">
        <f>W25/AE25</f>
        <v>0.020002628516591965</v>
      </c>
      <c r="X30" s="7">
        <f>X25/AE25</f>
        <v>0.024487148505440096</v>
      </c>
      <c r="Y30" s="7">
        <f>Y25/AE25</f>
        <v>0.030641716425834138</v>
      </c>
      <c r="Z30" s="7">
        <f>Z25/AE25</f>
        <v>0.08045801988059997</v>
      </c>
      <c r="AA30" s="7">
        <f>AA25/AE25</f>
        <v>0.0435215264730328</v>
      </c>
      <c r="AB30" s="7">
        <f>AB25/AE25</f>
        <v>0.06047377578083514</v>
      </c>
      <c r="AC30" s="7">
        <f>AC25/AE25</f>
        <v>0.03768052025517614</v>
      </c>
      <c r="AD30" s="7">
        <f>AD25/AE25</f>
        <v>0.04956412984787151</v>
      </c>
      <c r="AE30" s="7">
        <f>AE25/AE25</f>
        <v>1</v>
      </c>
      <c r="AF30" s="7"/>
    </row>
    <row r="31" spans="6:32" ht="12">
      <c r="F31" s="1">
        <v>3</v>
      </c>
      <c r="G31" s="1">
        <v>3.8</v>
      </c>
      <c r="H31" s="13" t="s">
        <v>226</v>
      </c>
      <c r="I31" s="7"/>
      <c r="J31" s="7"/>
      <c r="K31" s="7"/>
      <c r="L31" s="7" t="s">
        <v>69</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1</v>
      </c>
      <c r="AE31" s="7"/>
      <c r="AF31" s="7"/>
    </row>
    <row r="32" spans="8:32" ht="12">
      <c r="H32" s="13" t="s">
        <v>227</v>
      </c>
      <c r="I32" s="7"/>
      <c r="J32" s="7"/>
      <c r="K32" s="7"/>
      <c r="L32" s="7" t="s">
        <v>70</v>
      </c>
      <c r="M32" s="3">
        <f>M27/AE27</f>
        <v>0.09975021164377126</v>
      </c>
      <c r="N32" s="3">
        <f>N27/AE27</f>
        <v>0.006358365585302949</v>
      </c>
      <c r="O32" s="3">
        <f>O27/AE27</f>
        <v>0.08727265737242995</v>
      </c>
      <c r="P32" s="3">
        <f>P27/AE27</f>
        <v>0.02071137549908466</v>
      </c>
      <c r="Q32" s="3">
        <f>Q27/AE27</f>
        <v>0.009623394199591823</v>
      </c>
      <c r="R32" s="3">
        <f>R27/AE27</f>
        <v>0.036617627990809434</v>
      </c>
      <c r="S32" s="3">
        <f>S27/AE27</f>
        <v>0.019259678514243116</v>
      </c>
      <c r="T32" s="3">
        <f>T27/AE27</f>
        <v>0.02142681055984853</v>
      </c>
      <c r="U32" s="3">
        <f>U27/AE27</f>
        <v>0.010256570058354413</v>
      </c>
      <c r="V32" s="3">
        <f>V27/AE27</f>
        <v>0.024168318201577922</v>
      </c>
      <c r="W32" s="3">
        <f aca="true" t="shared" si="7" ref="W32:AD32">W27/$AB27</f>
        <v>0.3307653318867355</v>
      </c>
      <c r="X32" s="3">
        <f t="shared" si="7"/>
        <v>0.4049217729381529</v>
      </c>
      <c r="Y32" s="3">
        <f t="shared" si="7"/>
        <v>0.5066942824420906</v>
      </c>
      <c r="Z32" s="3">
        <f t="shared" si="7"/>
        <v>1.3304613254543645</v>
      </c>
      <c r="AA32" s="3">
        <f t="shared" si="7"/>
        <v>0.7196760233850867</v>
      </c>
      <c r="AB32" s="3">
        <f t="shared" si="7"/>
        <v>1</v>
      </c>
      <c r="AC32" s="3">
        <f t="shared" si="7"/>
        <v>16.28568239905865</v>
      </c>
      <c r="AD32" s="3">
        <f t="shared" si="7"/>
        <v>0.8195970767146802</v>
      </c>
      <c r="AE32" s="7"/>
      <c r="AF32" s="7"/>
    </row>
    <row r="33" spans="4:32" ht="12">
      <c r="D33" s="1">
        <v>80</v>
      </c>
      <c r="E33" s="1">
        <v>0.39</v>
      </c>
      <c r="F33" s="1">
        <v>1</v>
      </c>
      <c r="G33" s="1">
        <v>0.8</v>
      </c>
      <c r="H33" s="13" t="s">
        <v>228</v>
      </c>
      <c r="I33" s="7"/>
      <c r="J33" s="7"/>
      <c r="K33" s="7"/>
      <c r="L33" s="7" t="s">
        <v>71</v>
      </c>
      <c r="M33" s="7">
        <f>M30</f>
        <v>0.19423123661965438</v>
      </c>
      <c r="N33" s="7">
        <f>M30+N30</f>
        <v>0.20661209466658928</v>
      </c>
      <c r="O33" s="7">
        <f aca="true" t="shared" si="8" ref="O33:AD33">N33+O30</f>
        <v>0.37654733475476354</v>
      </c>
      <c r="P33" s="7">
        <f t="shared" si="8"/>
        <v>0.41687603189725647</v>
      </c>
      <c r="Q33" s="7">
        <f t="shared" si="8"/>
        <v>0.435614475907183</v>
      </c>
      <c r="R33" s="7">
        <f t="shared" si="8"/>
        <v>0.5069154491034389</v>
      </c>
      <c r="S33" s="7">
        <f t="shared" si="8"/>
        <v>0.5444174364483652</v>
      </c>
      <c r="T33" s="7">
        <f t="shared" si="8"/>
        <v>0.5861392117035089</v>
      </c>
      <c r="U33" s="7">
        <f t="shared" si="8"/>
        <v>0.6061105606669043</v>
      </c>
      <c r="V33" s="7">
        <f t="shared" si="8"/>
        <v>0.6531705343146184</v>
      </c>
      <c r="W33" s="7">
        <f t="shared" si="8"/>
        <v>0.6731731628312103</v>
      </c>
      <c r="X33" s="7">
        <f t="shared" si="8"/>
        <v>0.6976603113366504</v>
      </c>
      <c r="Y33" s="7">
        <f t="shared" si="8"/>
        <v>0.7283020277624845</v>
      </c>
      <c r="Z33" s="7">
        <f t="shared" si="8"/>
        <v>0.8087600476430845</v>
      </c>
      <c r="AA33" s="7">
        <f t="shared" si="8"/>
        <v>0.8522815741161173</v>
      </c>
      <c r="AB33" s="7">
        <f t="shared" si="8"/>
        <v>0.9127553498969524</v>
      </c>
      <c r="AC33" s="7">
        <f t="shared" si="8"/>
        <v>0.9504358701521285</v>
      </c>
      <c r="AD33" s="7">
        <f t="shared" si="8"/>
        <v>1</v>
      </c>
      <c r="AE33" s="7"/>
      <c r="AF33" s="7"/>
    </row>
    <row r="34" spans="3:32" ht="12">
      <c r="C34" s="2" t="s">
        <v>238</v>
      </c>
      <c r="F34" s="1">
        <v>2</v>
      </c>
      <c r="G34" s="1">
        <v>4.5</v>
      </c>
      <c r="H34" s="13" t="s">
        <v>230</v>
      </c>
      <c r="I34" s="7"/>
      <c r="J34" s="7"/>
      <c r="K34" s="7"/>
      <c r="L34" s="7" t="s">
        <v>72</v>
      </c>
      <c r="M34" s="7">
        <f aca="true" t="shared" si="9" ref="M34:AC34">M33+M31</f>
        <v>0.19423123661965438</v>
      </c>
      <c r="N34" s="13">
        <f t="shared" si="9"/>
        <v>0.20661209466658928</v>
      </c>
      <c r="O34" s="13">
        <f t="shared" si="9"/>
        <v>0.37654733475476354</v>
      </c>
      <c r="P34" s="13">
        <f t="shared" si="9"/>
        <v>0.41687603189725647</v>
      </c>
      <c r="Q34" s="13">
        <f t="shared" si="9"/>
        <v>0.435614475907183</v>
      </c>
      <c r="R34" s="13">
        <f t="shared" si="9"/>
        <v>0.5069154491034389</v>
      </c>
      <c r="S34" s="13">
        <f t="shared" si="9"/>
        <v>0.5444174364483652</v>
      </c>
      <c r="T34" s="13">
        <f t="shared" si="9"/>
        <v>0.5861392117035089</v>
      </c>
      <c r="U34" s="13">
        <f t="shared" si="9"/>
        <v>0.6061105606669043</v>
      </c>
      <c r="V34" s="13">
        <f t="shared" si="9"/>
        <v>0.6531705343146184</v>
      </c>
      <c r="W34" s="13">
        <f t="shared" si="9"/>
        <v>0.6731731628312103</v>
      </c>
      <c r="X34" s="13">
        <f t="shared" si="9"/>
        <v>0.6976603113366504</v>
      </c>
      <c r="Y34" s="13">
        <f t="shared" si="9"/>
        <v>0.7283020277624845</v>
      </c>
      <c r="Z34" s="13">
        <f t="shared" si="9"/>
        <v>0.8087600476430845</v>
      </c>
      <c r="AA34" s="13">
        <f t="shared" si="9"/>
        <v>0.8522815741161173</v>
      </c>
      <c r="AB34" s="13">
        <f t="shared" si="9"/>
        <v>0.9127553498969524</v>
      </c>
      <c r="AC34" s="13">
        <f t="shared" si="9"/>
        <v>0.9504358701521285</v>
      </c>
      <c r="AD34" s="13"/>
      <c r="AE34" s="13"/>
      <c r="AF34" s="13"/>
    </row>
    <row r="35" spans="6:32" ht="11.25">
      <c r="F35" s="1">
        <v>3</v>
      </c>
      <c r="G35" s="1">
        <v>4.5</v>
      </c>
      <c r="H35" s="7" t="s">
        <v>229</v>
      </c>
      <c r="I35" s="7"/>
      <c r="J35" s="7"/>
      <c r="K35" s="7"/>
      <c r="L35" s="7" t="s">
        <v>73</v>
      </c>
      <c r="M35" s="7">
        <f>M32</f>
        <v>0.09975021164377126</v>
      </c>
      <c r="N35" s="7">
        <f aca="true" t="shared" si="10" ref="N35:AD35">M35+N32</f>
        <v>0.10610857722907421</v>
      </c>
      <c r="O35" s="7">
        <f t="shared" si="10"/>
        <v>0.19338123460150416</v>
      </c>
      <c r="P35" s="7">
        <f t="shared" si="10"/>
        <v>0.21409261010058883</v>
      </c>
      <c r="Q35" s="7">
        <f t="shared" si="10"/>
        <v>0.22371600430018065</v>
      </c>
      <c r="R35" s="7">
        <f t="shared" si="10"/>
        <v>0.2603336322909901</v>
      </c>
      <c r="S35" s="7">
        <f t="shared" si="10"/>
        <v>0.2795933108052332</v>
      </c>
      <c r="T35" s="7">
        <f t="shared" si="10"/>
        <v>0.3010201213650817</v>
      </c>
      <c r="U35" s="7">
        <f t="shared" si="10"/>
        <v>0.3112766914234361</v>
      </c>
      <c r="V35" s="7">
        <f t="shared" si="10"/>
        <v>0.33544500962501406</v>
      </c>
      <c r="W35" s="7">
        <f t="shared" si="10"/>
        <v>0.6662103415117495</v>
      </c>
      <c r="X35" s="7">
        <f t="shared" si="10"/>
        <v>1.0711321144499024</v>
      </c>
      <c r="Y35" s="7">
        <f t="shared" si="10"/>
        <v>1.577826396891993</v>
      </c>
      <c r="Z35" s="7">
        <f t="shared" si="10"/>
        <v>2.9082877223463575</v>
      </c>
      <c r="AA35" s="7">
        <f t="shared" si="10"/>
        <v>3.627963745731444</v>
      </c>
      <c r="AB35" s="7">
        <f t="shared" si="10"/>
        <v>4.627963745731444</v>
      </c>
      <c r="AC35" s="7">
        <f t="shared" si="10"/>
        <v>20.913646144790093</v>
      </c>
      <c r="AD35" s="7">
        <f t="shared" si="10"/>
        <v>21.73324322150477</v>
      </c>
      <c r="AE35" s="7"/>
      <c r="AF35" s="7"/>
    </row>
    <row r="36" spans="6:25" ht="11.25">
      <c r="F36" s="1">
        <v>4</v>
      </c>
      <c r="G36" s="1">
        <v>4.5</v>
      </c>
      <c r="H36" s="7"/>
      <c r="I36" s="7"/>
      <c r="J36" s="7"/>
      <c r="K36" s="7"/>
      <c r="L36" s="7"/>
      <c r="M36" s="7"/>
      <c r="N36" s="7"/>
      <c r="O36" s="7"/>
      <c r="P36" s="7"/>
      <c r="Q36" s="7"/>
      <c r="R36" s="7"/>
      <c r="S36" s="7"/>
      <c r="T36" s="7"/>
      <c r="U36" s="7"/>
      <c r="V36" s="7"/>
      <c r="W36" s="7"/>
      <c r="X36" s="7"/>
      <c r="Y36" s="7"/>
    </row>
    <row r="37" spans="4:8" ht="12">
      <c r="D37" s="1">
        <v>82</v>
      </c>
      <c r="E37" s="1">
        <v>0.41</v>
      </c>
      <c r="F37" s="1">
        <v>1</v>
      </c>
      <c r="G37" s="1">
        <v>1.3</v>
      </c>
      <c r="H37" s="4" t="s">
        <v>231</v>
      </c>
    </row>
    <row r="38" spans="3:8" ht="12">
      <c r="C38" s="2" t="s">
        <v>299</v>
      </c>
      <c r="F38" s="1">
        <v>2</v>
      </c>
      <c r="G38" s="1">
        <v>3.4</v>
      </c>
      <c r="H38" s="1"/>
    </row>
    <row r="39" spans="6:7" ht="11.25">
      <c r="F39" s="1">
        <v>3</v>
      </c>
      <c r="G39" s="1">
        <v>3.4</v>
      </c>
    </row>
    <row r="40" spans="6:7" ht="11.25">
      <c r="F40" s="1">
        <v>4</v>
      </c>
      <c r="G40" s="1">
        <v>3.4</v>
      </c>
    </row>
    <row r="42" spans="1:7" ht="12">
      <c r="A42" s="2" t="s">
        <v>38</v>
      </c>
      <c r="B42" s="2" t="s">
        <v>237</v>
      </c>
      <c r="C42" s="2" t="s">
        <v>239</v>
      </c>
      <c r="D42" s="1">
        <v>81</v>
      </c>
      <c r="E42" s="1">
        <v>0.4</v>
      </c>
      <c r="F42" s="1">
        <v>1</v>
      </c>
      <c r="G42" s="1">
        <v>1.9</v>
      </c>
    </row>
    <row r="43" spans="6:7" ht="11.25">
      <c r="F43" s="1">
        <v>2</v>
      </c>
      <c r="G43" s="1">
        <v>5.9</v>
      </c>
    </row>
    <row r="44" spans="6:7" ht="11.25">
      <c r="F44" s="1">
        <v>3</v>
      </c>
      <c r="G44" s="1">
        <v>6.3</v>
      </c>
    </row>
    <row r="45" spans="6:7" ht="11.25">
      <c r="F45" s="1">
        <v>4</v>
      </c>
      <c r="G45" s="1">
        <v>6.3</v>
      </c>
    </row>
    <row r="46" spans="3:7" ht="12">
      <c r="C46" s="2" t="s">
        <v>299</v>
      </c>
      <c r="D46" s="1">
        <v>80</v>
      </c>
      <c r="E46" s="1">
        <v>0.39</v>
      </c>
      <c r="F46" s="1">
        <v>1</v>
      </c>
      <c r="G46" s="1">
        <v>1.9</v>
      </c>
    </row>
    <row r="47" spans="6:7" ht="11.25">
      <c r="F47" s="1">
        <v>2</v>
      </c>
      <c r="G47" s="1">
        <v>6.6</v>
      </c>
    </row>
    <row r="48" spans="6:7" ht="11.25">
      <c r="F48" s="1">
        <v>3</v>
      </c>
      <c r="G48" s="1">
        <v>6.6</v>
      </c>
    </row>
    <row r="50" spans="3:7" ht="12">
      <c r="C50" s="2" t="s">
        <v>331</v>
      </c>
      <c r="D50" s="1">
        <v>80</v>
      </c>
      <c r="E50" s="1">
        <v>0.4</v>
      </c>
      <c r="F50" s="1">
        <v>1</v>
      </c>
      <c r="G50" s="1">
        <v>2</v>
      </c>
    </row>
    <row r="51" spans="6:7" ht="11.25">
      <c r="F51" s="1">
        <v>2</v>
      </c>
      <c r="G51" s="1">
        <v>7.4</v>
      </c>
    </row>
    <row r="52" spans="6:7" ht="11.25">
      <c r="F52" s="1">
        <v>3</v>
      </c>
      <c r="G52" s="1">
        <v>7.4</v>
      </c>
    </row>
    <row r="54" spans="3:7" ht="12">
      <c r="C54" s="2" t="s">
        <v>252</v>
      </c>
      <c r="D54" s="1">
        <v>80</v>
      </c>
      <c r="E54" s="1">
        <v>0.42</v>
      </c>
      <c r="F54" s="1">
        <v>1</v>
      </c>
      <c r="G54" s="1">
        <v>1.7</v>
      </c>
    </row>
    <row r="55" spans="6:7" ht="11.25">
      <c r="F55" s="1">
        <v>2</v>
      </c>
      <c r="G55" s="1">
        <v>4.6</v>
      </c>
    </row>
    <row r="56" spans="6:7" ht="11.25">
      <c r="F56" s="1">
        <v>3</v>
      </c>
      <c r="G56" s="1">
        <v>8.2</v>
      </c>
    </row>
    <row r="57" spans="6:7" ht="11.25">
      <c r="F57" s="1">
        <v>4</v>
      </c>
      <c r="G57" s="1">
        <v>11</v>
      </c>
    </row>
    <row r="58" spans="3:7" ht="12">
      <c r="C58" s="2" t="s">
        <v>310</v>
      </c>
      <c r="D58" s="1">
        <v>83</v>
      </c>
      <c r="E58" s="1">
        <v>0.41</v>
      </c>
      <c r="F58" s="1">
        <v>1</v>
      </c>
      <c r="G58" s="1">
        <v>1.8</v>
      </c>
    </row>
    <row r="59" spans="6:7" ht="11.25">
      <c r="F59" s="1">
        <v>2</v>
      </c>
      <c r="G59" s="1">
        <v>5.5</v>
      </c>
    </row>
    <row r="60" spans="6:7" ht="11.25">
      <c r="F60" s="1">
        <v>3</v>
      </c>
      <c r="G60" s="1">
        <v>5.5</v>
      </c>
    </row>
    <row r="62" spans="3:7" ht="12">
      <c r="C62" s="2" t="s">
        <v>326</v>
      </c>
      <c r="D62" s="1">
        <v>80</v>
      </c>
      <c r="E62" s="1">
        <v>0.4</v>
      </c>
      <c r="F62" s="1">
        <v>1</v>
      </c>
      <c r="G62" s="1">
        <v>3.2</v>
      </c>
    </row>
    <row r="63" spans="6:7" ht="11.25">
      <c r="F63" s="1">
        <v>2</v>
      </c>
      <c r="G63" s="1">
        <v>6.9</v>
      </c>
    </row>
    <row r="64" spans="6:7" ht="11.25">
      <c r="F64" s="1">
        <v>3</v>
      </c>
      <c r="G64" s="1">
        <v>8.9</v>
      </c>
    </row>
    <row r="65" spans="6:7" ht="11.25">
      <c r="F65" s="1">
        <v>4</v>
      </c>
      <c r="G65" s="1">
        <v>8.9</v>
      </c>
    </row>
    <row r="66" spans="3:7" ht="12">
      <c r="C66" s="2" t="s">
        <v>272</v>
      </c>
      <c r="D66" s="1">
        <v>79</v>
      </c>
      <c r="E66" s="1">
        <v>0.41</v>
      </c>
      <c r="F66" s="1">
        <v>1</v>
      </c>
      <c r="G66" s="1">
        <v>2.3</v>
      </c>
    </row>
    <row r="67" spans="6:7" ht="11.25">
      <c r="F67" s="1">
        <v>2</v>
      </c>
      <c r="G67" s="1">
        <v>6.7</v>
      </c>
    </row>
    <row r="68" spans="6:7" ht="11.25">
      <c r="F68" s="1">
        <v>3</v>
      </c>
      <c r="G68" s="1">
        <v>10.1</v>
      </c>
    </row>
    <row r="69" spans="6:7" ht="11.25">
      <c r="F69" s="1">
        <v>4</v>
      </c>
      <c r="G69" s="1">
        <v>10.1</v>
      </c>
    </row>
    <row r="70" spans="3:7" ht="12">
      <c r="C70" s="2" t="s">
        <v>327</v>
      </c>
      <c r="D70" s="1">
        <v>78</v>
      </c>
      <c r="E70" s="1">
        <v>0.42</v>
      </c>
      <c r="F70" s="1">
        <v>1</v>
      </c>
      <c r="G70" s="1">
        <v>2.6</v>
      </c>
    </row>
    <row r="71" spans="6:7" ht="11.25">
      <c r="F71" s="1">
        <v>2</v>
      </c>
      <c r="G71" s="1">
        <v>5.6</v>
      </c>
    </row>
    <row r="72" spans="6:7" ht="11.25">
      <c r="F72" s="1">
        <v>3</v>
      </c>
      <c r="G72" s="1">
        <v>9.8</v>
      </c>
    </row>
    <row r="73" spans="6:7" ht="11.25">
      <c r="F73" s="1">
        <v>4</v>
      </c>
      <c r="G73" s="1">
        <v>9.8</v>
      </c>
    </row>
    <row r="74" spans="3:7" ht="12">
      <c r="C74" s="2" t="s">
        <v>320</v>
      </c>
      <c r="D74" s="1">
        <v>81</v>
      </c>
      <c r="E74" s="1">
        <v>0.4</v>
      </c>
      <c r="F74" s="1">
        <v>1</v>
      </c>
      <c r="G74" s="1">
        <v>2.7</v>
      </c>
    </row>
    <row r="75" spans="6:7" ht="11.25">
      <c r="F75" s="1">
        <v>2</v>
      </c>
      <c r="G75" s="1">
        <v>6.8</v>
      </c>
    </row>
    <row r="76" spans="6:7" ht="11.25">
      <c r="F76" s="1">
        <v>3</v>
      </c>
      <c r="G76" s="1">
        <v>6.8</v>
      </c>
    </row>
    <row r="78" spans="3:7" ht="12">
      <c r="C78" s="2" t="s">
        <v>209</v>
      </c>
      <c r="D78" s="1">
        <v>81</v>
      </c>
      <c r="E78" s="1">
        <v>0.42</v>
      </c>
      <c r="F78" s="1">
        <v>1</v>
      </c>
      <c r="G78" s="1">
        <v>2.1</v>
      </c>
    </row>
    <row r="79" spans="6:7" ht="11.25">
      <c r="F79" s="1">
        <v>2</v>
      </c>
      <c r="G79" s="1">
        <v>5.8</v>
      </c>
    </row>
    <row r="80" spans="6:7" ht="11.25">
      <c r="F80" s="1">
        <v>3</v>
      </c>
      <c r="G80" s="1">
        <v>7.4</v>
      </c>
    </row>
    <row r="81" spans="6:7" ht="11.25">
      <c r="F81" s="1">
        <v>4</v>
      </c>
      <c r="G81" s="1">
        <v>7.4</v>
      </c>
    </row>
    <row r="84" spans="1:2" ht="12">
      <c r="A84" s="2"/>
      <c r="B84" s="2"/>
    </row>
    <row r="126" spans="1:2" ht="12">
      <c r="A126" s="2"/>
      <c r="B126" s="2"/>
    </row>
    <row r="136" spans="1:2" ht="12">
      <c r="A136" s="2"/>
      <c r="B136" s="2"/>
    </row>
    <row r="177" spans="1:2" ht="12">
      <c r="A177" s="2"/>
      <c r="B177" s="2"/>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F186"/>
  <sheetViews>
    <sheetView workbookViewId="0" topLeftCell="A1">
      <pane xSplit="5" ySplit="1" topLeftCell="F30" activePane="bottomRight" state="frozen"/>
      <selection pane="topLeft" activeCell="A1" sqref="A1"/>
      <selection pane="topRight" activeCell="D1" sqref="D1"/>
      <selection pane="bottomLeft" activeCell="A2" sqref="A2"/>
      <selection pane="bottomRight" activeCell="B22" sqref="B22"/>
    </sheetView>
  </sheetViews>
  <sheetFormatPr defaultColWidth="9.00390625" defaultRowHeight="14.25"/>
  <cols>
    <col min="1" max="1" width="7.625" style="1" customWidth="1"/>
    <col min="2" max="2" width="6.50390625" style="1" customWidth="1"/>
    <col min="3" max="3" width="5.125" style="1" customWidth="1"/>
    <col min="4" max="4" width="6.50390625" style="1" customWidth="1"/>
    <col min="5" max="5" width="8.375" style="3" customWidth="1"/>
    <col min="6" max="6" width="5.125" style="0" customWidth="1"/>
    <col min="7" max="8" width="4.875" style="3" customWidth="1"/>
    <col min="9" max="9" width="7.75390625" style="3" customWidth="1"/>
    <col min="10" max="10" width="4.875" style="3" customWidth="1"/>
    <col min="11" max="11" width="11.625" style="3" customWidth="1"/>
    <col min="12" max="34" width="4.875" style="3" customWidth="1"/>
    <col min="35" max="16384" width="6.50390625" style="3" customWidth="1"/>
  </cols>
  <sheetData>
    <row r="1" spans="1:6" ht="24">
      <c r="A1" s="18" t="s">
        <v>195</v>
      </c>
      <c r="B1" s="22" t="s">
        <v>196</v>
      </c>
      <c r="C1" s="19" t="s">
        <v>197</v>
      </c>
      <c r="D1" s="19" t="s">
        <v>199</v>
      </c>
      <c r="E1" s="2" t="s">
        <v>198</v>
      </c>
      <c r="F1" s="3"/>
    </row>
    <row r="2" spans="4:5" ht="14.25">
      <c r="D2" s="1">
        <v>0.5</v>
      </c>
      <c r="E2" s="3">
        <v>3</v>
      </c>
    </row>
    <row r="3" spans="1:32" ht="15">
      <c r="A3" s="2" t="s">
        <v>1</v>
      </c>
      <c r="B3" s="2" t="s">
        <v>245</v>
      </c>
      <c r="C3" s="1">
        <v>90</v>
      </c>
      <c r="D3" s="9"/>
      <c r="E3" s="3">
        <v>5.5</v>
      </c>
      <c r="H3" s="1"/>
      <c r="I3" s="1"/>
      <c r="J3" s="1"/>
      <c r="K3" s="1"/>
      <c r="L3" s="1"/>
      <c r="M3" s="1"/>
      <c r="N3" s="1"/>
      <c r="O3" s="1"/>
      <c r="P3" s="1"/>
      <c r="Q3" s="1"/>
      <c r="R3" s="1"/>
      <c r="S3" s="1"/>
      <c r="T3" s="1"/>
      <c r="U3" s="1"/>
      <c r="V3" s="1"/>
      <c r="W3" s="1"/>
      <c r="X3" s="1"/>
      <c r="Y3" s="1"/>
      <c r="Z3" s="1"/>
      <c r="AA3" s="1"/>
      <c r="AB3" s="1"/>
      <c r="AC3" s="1"/>
      <c r="AD3" s="1"/>
      <c r="AE3" s="1"/>
      <c r="AF3" s="1"/>
    </row>
    <row r="4" spans="1:32" ht="15">
      <c r="A4" s="30" t="s">
        <v>101</v>
      </c>
      <c r="B4" s="31"/>
      <c r="D4" s="9"/>
      <c r="E4" s="3">
        <v>12.4</v>
      </c>
      <c r="H4" s="7"/>
      <c r="I4" s="7"/>
      <c r="J4" s="7"/>
      <c r="K4" s="7"/>
      <c r="L4" s="7"/>
      <c r="M4" s="7"/>
      <c r="N4" s="7"/>
      <c r="O4" s="7"/>
      <c r="P4" s="7"/>
      <c r="Q4" s="7"/>
      <c r="R4" s="7"/>
      <c r="S4" s="7"/>
      <c r="T4" s="7"/>
      <c r="U4" s="7"/>
      <c r="V4" s="7"/>
      <c r="W4" s="7"/>
      <c r="X4" s="7"/>
      <c r="Y4" s="7"/>
      <c r="Z4" s="7"/>
      <c r="AA4" s="7"/>
      <c r="AB4" s="7"/>
      <c r="AC4" s="7"/>
      <c r="AD4" s="7"/>
      <c r="AE4" s="7"/>
      <c r="AF4" s="7"/>
    </row>
    <row r="5" spans="1:32" ht="15">
      <c r="A5" s="30" t="s">
        <v>136</v>
      </c>
      <c r="B5" s="31"/>
      <c r="E5" s="3">
        <v>12.4</v>
      </c>
      <c r="H5" s="7"/>
      <c r="I5" s="7"/>
      <c r="J5" s="7"/>
      <c r="K5" s="7"/>
      <c r="L5" s="7"/>
      <c r="M5" s="7"/>
      <c r="N5" s="7"/>
      <c r="O5" s="7"/>
      <c r="P5" s="7"/>
      <c r="Q5" s="7"/>
      <c r="R5" s="7"/>
      <c r="S5" s="7"/>
      <c r="T5" s="7"/>
      <c r="U5" s="7"/>
      <c r="V5" s="7"/>
      <c r="W5" s="7"/>
      <c r="X5" s="7"/>
      <c r="Y5" s="7"/>
      <c r="Z5" s="7"/>
      <c r="AA5" s="7"/>
      <c r="AB5" s="7"/>
      <c r="AC5" s="7"/>
      <c r="AD5" s="7"/>
      <c r="AE5" s="7"/>
      <c r="AF5" s="7"/>
    </row>
    <row r="6" spans="8:32" ht="14.25">
      <c r="H6" s="7"/>
      <c r="I6" s="7" t="s">
        <v>74</v>
      </c>
      <c r="J6" s="7">
        <v>9428</v>
      </c>
      <c r="K6" s="7"/>
      <c r="L6" s="7"/>
      <c r="M6" s="7"/>
      <c r="N6" s="7"/>
      <c r="O6" s="7"/>
      <c r="P6" s="7"/>
      <c r="Q6" s="7"/>
      <c r="R6" s="7"/>
      <c r="S6" s="7"/>
      <c r="T6" s="7"/>
      <c r="U6" s="7"/>
      <c r="V6" s="7"/>
      <c r="W6" s="7"/>
      <c r="X6" s="7"/>
      <c r="Y6" s="7"/>
      <c r="Z6" s="7"/>
      <c r="AA6" s="7"/>
      <c r="AB6" s="7"/>
      <c r="AC6" s="7"/>
      <c r="AD6" s="7"/>
      <c r="AE6" s="7"/>
      <c r="AF6" s="7"/>
    </row>
    <row r="7" spans="4:32" ht="14.25">
      <c r="D7" s="1">
        <v>0.51</v>
      </c>
      <c r="E7" s="3">
        <v>4.5</v>
      </c>
      <c r="H7" s="7"/>
      <c r="I7" s="7"/>
      <c r="J7" s="7"/>
      <c r="K7" s="7"/>
      <c r="L7" s="7"/>
      <c r="M7" s="7"/>
      <c r="N7" s="7"/>
      <c r="O7" s="7"/>
      <c r="P7" s="7"/>
      <c r="Q7" s="7"/>
      <c r="R7" s="7"/>
      <c r="S7" s="7"/>
      <c r="T7" s="7"/>
      <c r="U7" s="7"/>
      <c r="V7" s="7"/>
      <c r="W7" s="7"/>
      <c r="X7" s="7"/>
      <c r="Y7" s="7"/>
      <c r="Z7" s="7"/>
      <c r="AA7" s="7"/>
      <c r="AB7" s="7"/>
      <c r="AC7" s="7"/>
      <c r="AD7" s="7"/>
      <c r="AE7" s="7"/>
      <c r="AF7" s="7"/>
    </row>
    <row r="8" spans="2:32" ht="15">
      <c r="B8" s="2" t="s">
        <v>248</v>
      </c>
      <c r="C8" s="1">
        <v>90</v>
      </c>
      <c r="E8" s="3">
        <v>10</v>
      </c>
      <c r="H8" s="7"/>
      <c r="I8" s="7" t="s">
        <v>42</v>
      </c>
      <c r="J8" s="7" t="s">
        <v>43</v>
      </c>
      <c r="K8" s="7" t="s">
        <v>44</v>
      </c>
      <c r="L8" s="7" t="s">
        <v>45</v>
      </c>
      <c r="M8" s="7"/>
      <c r="N8" s="7"/>
      <c r="O8" s="7"/>
      <c r="P8" s="7"/>
      <c r="Q8" s="7"/>
      <c r="R8" s="7"/>
      <c r="S8" s="7"/>
      <c r="T8" s="7"/>
      <c r="U8" s="7"/>
      <c r="V8" s="7"/>
      <c r="W8" s="7"/>
      <c r="X8" s="7"/>
      <c r="Y8" s="7"/>
      <c r="Z8" s="7"/>
      <c r="AA8" s="7"/>
      <c r="AB8" s="7"/>
      <c r="AC8" s="7"/>
      <c r="AD8" s="7"/>
      <c r="AE8" s="7"/>
      <c r="AF8" s="7"/>
    </row>
    <row r="9" spans="5:32" ht="15">
      <c r="E9" s="3">
        <v>18.1</v>
      </c>
      <c r="H9" s="7"/>
      <c r="I9" s="7"/>
      <c r="J9" s="7"/>
      <c r="K9" s="7"/>
      <c r="L9" s="13" t="s">
        <v>203</v>
      </c>
      <c r="M9" s="7"/>
      <c r="N9" s="7"/>
      <c r="O9" s="7"/>
      <c r="P9" s="7"/>
      <c r="Q9" s="7"/>
      <c r="R9" s="7"/>
      <c r="S9" s="7"/>
      <c r="T9" s="7"/>
      <c r="U9" s="7"/>
      <c r="V9" s="7"/>
      <c r="W9" s="7"/>
      <c r="X9" s="7"/>
      <c r="Y9" s="7"/>
      <c r="Z9" s="7"/>
      <c r="AA9" s="7"/>
      <c r="AB9" s="7"/>
      <c r="AC9" s="7"/>
      <c r="AD9" s="7"/>
      <c r="AE9" s="7"/>
      <c r="AF9" s="7"/>
    </row>
    <row r="10" spans="5:32" ht="14.25">
      <c r="E10" s="3">
        <v>19.4</v>
      </c>
      <c r="H10" s="7"/>
      <c r="I10" s="10">
        <v>37005</v>
      </c>
      <c r="J10" s="7">
        <v>20</v>
      </c>
      <c r="K10" s="7">
        <v>69</v>
      </c>
      <c r="L10" s="7">
        <v>41</v>
      </c>
      <c r="M10" s="7"/>
      <c r="N10" s="7"/>
      <c r="O10" s="7"/>
      <c r="P10" s="7"/>
      <c r="Q10" s="7"/>
      <c r="R10" s="7"/>
      <c r="S10" s="7"/>
      <c r="T10" s="7"/>
      <c r="U10" s="7"/>
      <c r="V10" s="7"/>
      <c r="W10" s="7"/>
      <c r="X10" s="7"/>
      <c r="Y10" s="7"/>
      <c r="Z10" s="7"/>
      <c r="AA10" s="7"/>
      <c r="AB10" s="7"/>
      <c r="AC10" s="7"/>
      <c r="AD10" s="7"/>
      <c r="AE10" s="7"/>
      <c r="AF10" s="7"/>
    </row>
    <row r="11" spans="4:25" ht="14.25">
      <c r="D11" s="1">
        <v>0.51</v>
      </c>
      <c r="E11" s="3">
        <v>2.5</v>
      </c>
      <c r="H11" s="6"/>
      <c r="I11" s="6"/>
      <c r="J11" s="6"/>
      <c r="K11" s="6"/>
      <c r="L11" s="6"/>
      <c r="M11" s="6" t="s">
        <v>75</v>
      </c>
      <c r="N11" s="6" t="s">
        <v>76</v>
      </c>
      <c r="O11" s="6" t="s">
        <v>77</v>
      </c>
      <c r="P11" s="6" t="s">
        <v>78</v>
      </c>
      <c r="Q11" s="6" t="s">
        <v>79</v>
      </c>
      <c r="R11" s="6" t="s">
        <v>80</v>
      </c>
      <c r="S11" s="6" t="s">
        <v>81</v>
      </c>
      <c r="T11" s="6" t="s">
        <v>82</v>
      </c>
      <c r="U11" s="6" t="s">
        <v>83</v>
      </c>
      <c r="V11" s="6" t="s">
        <v>84</v>
      </c>
      <c r="W11" s="6" t="s">
        <v>85</v>
      </c>
      <c r="X11" s="6" t="s">
        <v>86</v>
      </c>
      <c r="Y11" s="6"/>
    </row>
    <row r="12" spans="2:23" ht="15">
      <c r="B12" s="2" t="s">
        <v>321</v>
      </c>
      <c r="C12" s="1">
        <v>89</v>
      </c>
      <c r="E12" s="3">
        <v>5.2</v>
      </c>
      <c r="M12" s="4" t="s">
        <v>240</v>
      </c>
      <c r="W12" s="4" t="s">
        <v>241</v>
      </c>
    </row>
    <row r="13" spans="5:23" ht="15">
      <c r="E13" s="3">
        <v>14</v>
      </c>
      <c r="H13" s="23" t="s">
        <v>210</v>
      </c>
      <c r="L13" s="3" t="s">
        <v>96</v>
      </c>
      <c r="M13" s="3">
        <v>12.4373352</v>
      </c>
      <c r="N13" s="3">
        <v>8.8224921</v>
      </c>
      <c r="O13" s="3">
        <v>2.6877972</v>
      </c>
      <c r="P13" s="3">
        <v>10.376065100000002</v>
      </c>
      <c r="Q13" s="3">
        <v>8.0586428</v>
      </c>
      <c r="R13" s="3">
        <v>0.9538144000000001</v>
      </c>
      <c r="S13" s="3">
        <v>0.015395899999999999</v>
      </c>
      <c r="T13" s="3">
        <v>0</v>
      </c>
      <c r="U13" s="3">
        <v>0</v>
      </c>
      <c r="V13" s="3">
        <v>0</v>
      </c>
      <c r="W13" s="3">
        <f>SUM(M13:V13)</f>
        <v>43.351542699999996</v>
      </c>
    </row>
    <row r="14" spans="5:23" ht="15">
      <c r="E14" s="3">
        <v>20.7</v>
      </c>
      <c r="H14" s="23" t="s">
        <v>211</v>
      </c>
      <c r="L14" s="3" t="s">
        <v>88</v>
      </c>
      <c r="M14" s="3">
        <f>M13/$W$13</f>
        <v>0.28689486983354806</v>
      </c>
      <c r="N14" s="3">
        <f aca="true" t="shared" si="0" ref="N14:V14">N13/$W$13</f>
        <v>0.20351045315856778</v>
      </c>
      <c r="O14" s="3">
        <f t="shared" si="0"/>
        <v>0.06200003581418107</v>
      </c>
      <c r="P14" s="3">
        <f t="shared" si="0"/>
        <v>0.2393470786450237</v>
      </c>
      <c r="Q14" s="3">
        <f t="shared" si="0"/>
        <v>0.18589056578141105</v>
      </c>
      <c r="R14" s="3">
        <f t="shared" si="0"/>
        <v>0.022001856003154418</v>
      </c>
      <c r="S14" s="3">
        <f t="shared" si="0"/>
        <v>0.00035514076411403</v>
      </c>
      <c r="T14" s="3">
        <f t="shared" si="0"/>
        <v>0</v>
      </c>
      <c r="U14" s="3">
        <f t="shared" si="0"/>
        <v>0</v>
      </c>
      <c r="V14" s="3">
        <f t="shared" si="0"/>
        <v>0</v>
      </c>
      <c r="W14" s="3">
        <f aca="true" t="shared" si="1" ref="W14:W19">SUM(M14:V14)</f>
        <v>1.0000000000000002</v>
      </c>
    </row>
    <row r="15" spans="5:23" ht="15">
      <c r="E15" s="3">
        <v>23.5</v>
      </c>
      <c r="H15" s="23" t="s">
        <v>212</v>
      </c>
      <c r="L15" s="3" t="s">
        <v>94</v>
      </c>
      <c r="M15" s="3">
        <v>18.9965984</v>
      </c>
      <c r="N15" s="3">
        <v>40.156604</v>
      </c>
      <c r="O15" s="3">
        <v>70.233789</v>
      </c>
      <c r="P15" s="3">
        <v>56.60125170000001</v>
      </c>
      <c r="Q15" s="3">
        <v>43.319553</v>
      </c>
      <c r="R15" s="3">
        <v>19.155933</v>
      </c>
      <c r="S15" s="3">
        <v>12.600225</v>
      </c>
      <c r="T15" s="3">
        <v>0</v>
      </c>
      <c r="U15" s="3">
        <v>0</v>
      </c>
      <c r="V15" s="3">
        <v>0</v>
      </c>
      <c r="W15" s="3">
        <f t="shared" si="1"/>
        <v>261.06395410000005</v>
      </c>
    </row>
    <row r="16" spans="4:23" ht="15">
      <c r="D16" s="1">
        <v>0.52</v>
      </c>
      <c r="E16" s="3">
        <v>1.2</v>
      </c>
      <c r="H16" s="23" t="s">
        <v>213</v>
      </c>
      <c r="L16" s="3" t="s">
        <v>95</v>
      </c>
      <c r="M16" s="3">
        <v>14.473711999999997</v>
      </c>
      <c r="N16" s="3">
        <v>27.783334000000004</v>
      </c>
      <c r="O16" s="3">
        <v>60.516666</v>
      </c>
      <c r="P16" s="3">
        <v>60.483332999999995</v>
      </c>
      <c r="Q16" s="3">
        <v>47.941666</v>
      </c>
      <c r="R16" s="3">
        <v>36.966667</v>
      </c>
      <c r="S16" s="3">
        <v>12.6</v>
      </c>
      <c r="T16" s="3">
        <v>0</v>
      </c>
      <c r="U16" s="3">
        <v>0</v>
      </c>
      <c r="V16" s="3">
        <v>0</v>
      </c>
      <c r="W16" s="3">
        <f t="shared" si="1"/>
        <v>260.765378</v>
      </c>
    </row>
    <row r="17" spans="2:23" ht="15">
      <c r="B17" s="2" t="s">
        <v>238</v>
      </c>
      <c r="C17" s="1">
        <v>90</v>
      </c>
      <c r="D17" s="9"/>
      <c r="E17" s="3">
        <v>2.9</v>
      </c>
      <c r="H17" s="23" t="s">
        <v>214</v>
      </c>
      <c r="L17" s="3" t="s">
        <v>89</v>
      </c>
      <c r="M17" s="3">
        <f>3.1415926*0.506*10</f>
        <v>15.896458556000002</v>
      </c>
      <c r="N17" s="3">
        <f>3.1415926*0.506*5</f>
        <v>7.948229278000001</v>
      </c>
      <c r="O17" s="3">
        <f>3.1415926*0.506*5</f>
        <v>7.948229278000001</v>
      </c>
      <c r="P17" s="3">
        <f>3.1415926*0.506*5</f>
        <v>7.948229278000001</v>
      </c>
      <c r="Q17" s="3">
        <f>3.1415926*0.506*5</f>
        <v>7.948229278000001</v>
      </c>
      <c r="R17" s="3">
        <f>3.1415926*0.506*5</f>
        <v>7.948229278000001</v>
      </c>
      <c r="S17" s="3">
        <f>3.1415926*0.507*2</f>
        <v>3.1855748964</v>
      </c>
      <c r="T17" s="3">
        <v>0</v>
      </c>
      <c r="U17" s="3">
        <v>0</v>
      </c>
      <c r="V17" s="3">
        <v>0</v>
      </c>
      <c r="W17" s="3">
        <f t="shared" si="1"/>
        <v>58.8231798424</v>
      </c>
    </row>
    <row r="18" spans="1:23" ht="15">
      <c r="A18" s="30" t="s">
        <v>103</v>
      </c>
      <c r="B18" s="31"/>
      <c r="D18" s="9"/>
      <c r="E18" s="3">
        <v>6.8</v>
      </c>
      <c r="H18" s="23" t="s">
        <v>215</v>
      </c>
      <c r="L18" s="3" t="s">
        <v>90</v>
      </c>
      <c r="M18" s="3">
        <f aca="true" t="shared" si="2" ref="M18:W18">M17/$W$17</f>
        <v>0.2702414014099552</v>
      </c>
      <c r="N18" s="3">
        <f t="shared" si="2"/>
        <v>0.1351207007049776</v>
      </c>
      <c r="O18" s="3">
        <f t="shared" si="2"/>
        <v>0.1351207007049776</v>
      </c>
      <c r="P18" s="3">
        <f t="shared" si="2"/>
        <v>0.1351207007049776</v>
      </c>
      <c r="Q18" s="3">
        <f t="shared" si="2"/>
        <v>0.1351207007049776</v>
      </c>
      <c r="R18" s="3">
        <f t="shared" si="2"/>
        <v>0.1351207007049776</v>
      </c>
      <c r="S18" s="3">
        <f t="shared" si="2"/>
        <v>0.05415509506515701</v>
      </c>
      <c r="T18" s="3">
        <f t="shared" si="2"/>
        <v>0</v>
      </c>
      <c r="U18" s="3">
        <f t="shared" si="2"/>
        <v>0</v>
      </c>
      <c r="V18" s="3">
        <f t="shared" si="2"/>
        <v>0</v>
      </c>
      <c r="W18" s="3">
        <f t="shared" si="2"/>
        <v>1</v>
      </c>
    </row>
    <row r="19" spans="1:23" ht="15">
      <c r="A19" s="30" t="s">
        <v>104</v>
      </c>
      <c r="B19" s="31"/>
      <c r="E19" s="3">
        <v>16.4</v>
      </c>
      <c r="H19" s="23" t="s">
        <v>216</v>
      </c>
      <c r="L19" s="3" t="s">
        <v>91</v>
      </c>
      <c r="M19" s="3">
        <v>0</v>
      </c>
      <c r="N19" s="3">
        <v>0</v>
      </c>
      <c r="O19" s="3">
        <v>0</v>
      </c>
      <c r="P19" s="3">
        <v>0</v>
      </c>
      <c r="Q19" s="3">
        <v>0</v>
      </c>
      <c r="R19" s="3">
        <v>0</v>
      </c>
      <c r="S19" s="3">
        <v>0</v>
      </c>
      <c r="T19" s="3">
        <v>0</v>
      </c>
      <c r="U19" s="3">
        <v>0</v>
      </c>
      <c r="V19" s="3">
        <v>0</v>
      </c>
      <c r="W19" s="3">
        <f t="shared" si="1"/>
        <v>0</v>
      </c>
    </row>
    <row r="20" spans="5:23" ht="15">
      <c r="E20" s="3">
        <v>18.3</v>
      </c>
      <c r="H20" s="23" t="s">
        <v>217</v>
      </c>
      <c r="L20" s="3" t="s">
        <v>92</v>
      </c>
      <c r="M20" s="3">
        <v>0</v>
      </c>
      <c r="N20" s="3">
        <v>0</v>
      </c>
      <c r="O20" s="3">
        <v>0</v>
      </c>
      <c r="P20" s="3">
        <v>0</v>
      </c>
      <c r="Q20" s="3">
        <v>0</v>
      </c>
      <c r="R20" s="3">
        <v>0</v>
      </c>
      <c r="S20" s="3">
        <v>0</v>
      </c>
      <c r="T20" s="3">
        <v>0</v>
      </c>
      <c r="U20" s="3">
        <v>0</v>
      </c>
      <c r="V20" s="3">
        <v>0</v>
      </c>
      <c r="W20" s="3">
        <v>0</v>
      </c>
    </row>
    <row r="21" spans="4:23" ht="15">
      <c r="D21" s="1">
        <v>0.51</v>
      </c>
      <c r="E21" s="3">
        <v>3.6</v>
      </c>
      <c r="H21" s="23" t="s">
        <v>218</v>
      </c>
      <c r="L21" s="3" t="s">
        <v>93</v>
      </c>
      <c r="M21" s="3">
        <f>M13+M17+M19</f>
        <v>28.333793756000002</v>
      </c>
      <c r="N21" s="3">
        <f aca="true" t="shared" si="3" ref="N21:W21">N13+N17+N19</f>
        <v>16.770721378</v>
      </c>
      <c r="O21" s="3">
        <f t="shared" si="3"/>
        <v>10.636026478000002</v>
      </c>
      <c r="P21" s="3">
        <f t="shared" si="3"/>
        <v>18.324294378000005</v>
      </c>
      <c r="Q21" s="3">
        <f t="shared" si="3"/>
        <v>16.006872078</v>
      </c>
      <c r="R21" s="3">
        <f>R13+R17+R19</f>
        <v>8.902043678000002</v>
      </c>
      <c r="S21" s="3">
        <f t="shared" si="3"/>
        <v>3.2009707964</v>
      </c>
      <c r="T21" s="3">
        <f t="shared" si="3"/>
        <v>0</v>
      </c>
      <c r="U21" s="3">
        <f t="shared" si="3"/>
        <v>0</v>
      </c>
      <c r="V21" s="3">
        <f t="shared" si="3"/>
        <v>0</v>
      </c>
      <c r="W21" s="3">
        <f t="shared" si="3"/>
        <v>102.17472254239999</v>
      </c>
    </row>
    <row r="22" spans="2:23" ht="15">
      <c r="B22" s="2" t="s">
        <v>325</v>
      </c>
      <c r="C22" s="1">
        <v>89</v>
      </c>
      <c r="D22" s="9"/>
      <c r="E22" s="3">
        <v>6.9</v>
      </c>
      <c r="H22" s="23" t="s">
        <v>219</v>
      </c>
      <c r="L22" s="3" t="s">
        <v>93</v>
      </c>
      <c r="M22" s="3">
        <f>M21/$W$21</f>
        <v>0.2773072737657024</v>
      </c>
      <c r="N22" s="3">
        <f aca="true" t="shared" si="4" ref="N22:W22">N21/$W$21</f>
        <v>0.1641376747662864</v>
      </c>
      <c r="O22" s="3">
        <f t="shared" si="4"/>
        <v>0.10409645569222185</v>
      </c>
      <c r="P22" s="3">
        <f t="shared" si="4"/>
        <v>0.17934273685349011</v>
      </c>
      <c r="Q22" s="3">
        <f t="shared" si="4"/>
        <v>0.15666176212377325</v>
      </c>
      <c r="R22" s="3">
        <f t="shared" si="4"/>
        <v>0.08712569465804884</v>
      </c>
      <c r="S22" s="3">
        <f t="shared" si="4"/>
        <v>0.031328402140477316</v>
      </c>
      <c r="T22" s="3">
        <f t="shared" si="4"/>
        <v>0</v>
      </c>
      <c r="U22" s="3">
        <f t="shared" si="4"/>
        <v>0</v>
      </c>
      <c r="V22" s="3">
        <f t="shared" si="4"/>
        <v>0</v>
      </c>
      <c r="W22" s="3">
        <f t="shared" si="4"/>
        <v>1</v>
      </c>
    </row>
    <row r="23" spans="1:32" ht="15">
      <c r="A23" s="30" t="s">
        <v>99</v>
      </c>
      <c r="B23" s="31"/>
      <c r="D23" s="9"/>
      <c r="E23" s="3">
        <v>18.9</v>
      </c>
      <c r="H23" s="7"/>
      <c r="I23" s="7"/>
      <c r="J23" s="7"/>
      <c r="K23" s="7"/>
      <c r="L23" s="7" t="s">
        <v>46</v>
      </c>
      <c r="M23" s="7" t="s">
        <v>47</v>
      </c>
      <c r="N23" s="11">
        <v>37021</v>
      </c>
      <c r="O23" s="11">
        <v>37179</v>
      </c>
      <c r="P23" s="7" t="s">
        <v>48</v>
      </c>
      <c r="Q23" s="7" t="s">
        <v>49</v>
      </c>
      <c r="R23" s="7" t="s">
        <v>50</v>
      </c>
      <c r="S23" s="7" t="s">
        <v>51</v>
      </c>
      <c r="T23" s="7" t="s">
        <v>52</v>
      </c>
      <c r="U23" s="7" t="s">
        <v>53</v>
      </c>
      <c r="V23" s="7" t="s">
        <v>54</v>
      </c>
      <c r="W23" s="7" t="s">
        <v>55</v>
      </c>
      <c r="X23" s="7" t="s">
        <v>56</v>
      </c>
      <c r="Y23" s="7" t="s">
        <v>57</v>
      </c>
      <c r="Z23" s="7" t="s">
        <v>58</v>
      </c>
      <c r="AA23" s="7" t="s">
        <v>59</v>
      </c>
      <c r="AB23" s="7" t="s">
        <v>60</v>
      </c>
      <c r="AC23" s="7" t="s">
        <v>61</v>
      </c>
      <c r="AD23" s="7" t="s">
        <v>62</v>
      </c>
      <c r="AE23" s="7" t="s">
        <v>63</v>
      </c>
      <c r="AF23" s="7"/>
    </row>
    <row r="24" spans="1:32" ht="15">
      <c r="A24" s="30" t="s">
        <v>102</v>
      </c>
      <c r="B24" s="31"/>
      <c r="E24" s="3">
        <v>21.6</v>
      </c>
      <c r="H24" s="7"/>
      <c r="I24" s="7"/>
      <c r="J24" s="7"/>
      <c r="K24" s="7"/>
      <c r="L24" s="13" t="s">
        <v>234</v>
      </c>
      <c r="M24" s="7"/>
      <c r="N24" s="12"/>
      <c r="O24" s="12"/>
      <c r="P24" s="7"/>
      <c r="Q24" s="7"/>
      <c r="R24" s="7"/>
      <c r="S24" s="7"/>
      <c r="T24" s="7"/>
      <c r="U24" s="7"/>
      <c r="V24" s="7"/>
      <c r="W24" s="7"/>
      <c r="X24" s="7"/>
      <c r="Y24" s="7"/>
      <c r="Z24" s="7"/>
      <c r="AA24" s="7"/>
      <c r="AB24" s="7"/>
      <c r="AC24" s="7"/>
      <c r="AD24" s="7"/>
      <c r="AE24" s="13" t="s">
        <v>242</v>
      </c>
      <c r="AF24" s="7"/>
    </row>
    <row r="25" spans="4:32" ht="15">
      <c r="D25" s="1">
        <v>0.5</v>
      </c>
      <c r="E25" s="3">
        <v>5.3</v>
      </c>
      <c r="H25" s="13" t="s">
        <v>220</v>
      </c>
      <c r="I25" s="7"/>
      <c r="J25" s="7"/>
      <c r="K25" s="7"/>
      <c r="L25" s="7" t="s">
        <v>97</v>
      </c>
      <c r="M25" s="7">
        <v>2.7143949999999997</v>
      </c>
      <c r="N25" s="7">
        <v>1.866273</v>
      </c>
      <c r="O25" s="7">
        <v>0.2400417</v>
      </c>
      <c r="P25" s="7">
        <v>0.7837867000000001</v>
      </c>
      <c r="Q25" s="7">
        <v>0.49514040000000004</v>
      </c>
      <c r="R25" s="7">
        <v>2.2301631</v>
      </c>
      <c r="S25" s="7">
        <v>1.5609583</v>
      </c>
      <c r="T25" s="7">
        <v>3.021795</v>
      </c>
      <c r="U25" s="7">
        <v>2.8838249999999994</v>
      </c>
      <c r="V25" s="7">
        <v>0.7705249999999999</v>
      </c>
      <c r="W25" s="7">
        <v>2.1919349</v>
      </c>
      <c r="X25" s="7">
        <v>0.6161583</v>
      </c>
      <c r="Y25" s="7">
        <v>2.2463132999999997</v>
      </c>
      <c r="Z25" s="7">
        <v>5.4421504</v>
      </c>
      <c r="AA25" s="7">
        <v>5.089353599999999</v>
      </c>
      <c r="AB25" s="7">
        <v>4.4563419</v>
      </c>
      <c r="AC25" s="7">
        <v>3.0611334</v>
      </c>
      <c r="AD25" s="7">
        <v>3.2198314000000003</v>
      </c>
      <c r="AE25" s="7">
        <f>SUM(M25:AD25)</f>
        <v>42.8901204</v>
      </c>
      <c r="AF25" s="7"/>
    </row>
    <row r="26" spans="2:32" ht="15">
      <c r="B26" s="2" t="s">
        <v>326</v>
      </c>
      <c r="C26" s="1">
        <v>90</v>
      </c>
      <c r="D26" s="9"/>
      <c r="E26" s="3">
        <v>12</v>
      </c>
      <c r="H26" s="13" t="s">
        <v>221</v>
      </c>
      <c r="I26" s="7"/>
      <c r="J26" s="7"/>
      <c r="K26" s="7"/>
      <c r="L26" s="7" t="s">
        <v>64</v>
      </c>
      <c r="M26" s="7">
        <v>0</v>
      </c>
      <c r="N26" s="7">
        <v>0</v>
      </c>
      <c r="O26" s="7">
        <v>0</v>
      </c>
      <c r="P26" s="7">
        <v>0</v>
      </c>
      <c r="Q26" s="7">
        <v>0</v>
      </c>
      <c r="R26" s="7">
        <v>0</v>
      </c>
      <c r="S26" s="7">
        <v>0</v>
      </c>
      <c r="T26" s="7">
        <v>0</v>
      </c>
      <c r="U26" s="7">
        <v>0</v>
      </c>
      <c r="V26" s="7">
        <v>0</v>
      </c>
      <c r="W26" s="7">
        <v>0</v>
      </c>
      <c r="X26" s="7">
        <v>0</v>
      </c>
      <c r="Y26" s="7">
        <v>0</v>
      </c>
      <c r="Z26" s="7">
        <v>0</v>
      </c>
      <c r="AA26" s="7">
        <v>0</v>
      </c>
      <c r="AB26" s="7">
        <v>0</v>
      </c>
      <c r="AC26" s="7">
        <f>3.1415*0.51*39</f>
        <v>62.484435000000005</v>
      </c>
      <c r="AD26" s="7">
        <v>0</v>
      </c>
      <c r="AE26" s="7">
        <f>SUM(M14:AD14)</f>
        <v>2.0000000000000004</v>
      </c>
      <c r="AF26" s="7"/>
    </row>
    <row r="27" spans="1:32" ht="15">
      <c r="A27" s="30" t="s">
        <v>100</v>
      </c>
      <c r="B27" s="31"/>
      <c r="D27" s="9"/>
      <c r="E27" s="3">
        <v>17.5</v>
      </c>
      <c r="H27" s="13" t="s">
        <v>222</v>
      </c>
      <c r="I27" s="7"/>
      <c r="J27" s="7"/>
      <c r="K27" s="7"/>
      <c r="L27" s="7" t="s">
        <v>65</v>
      </c>
      <c r="M27" s="7">
        <f>M25+M26</f>
        <v>2.7143949999999997</v>
      </c>
      <c r="N27" s="7">
        <f aca="true" t="shared" si="5" ref="N27:AC27">N25+N26</f>
        <v>1.866273</v>
      </c>
      <c r="O27" s="7">
        <f t="shared" si="5"/>
        <v>0.2400417</v>
      </c>
      <c r="P27" s="7">
        <f t="shared" si="5"/>
        <v>0.7837867000000001</v>
      </c>
      <c r="Q27" s="7">
        <f t="shared" si="5"/>
        <v>0.49514040000000004</v>
      </c>
      <c r="R27" s="7">
        <f t="shared" si="5"/>
        <v>2.2301631</v>
      </c>
      <c r="S27" s="7">
        <f t="shared" si="5"/>
        <v>1.5609583</v>
      </c>
      <c r="T27" s="7">
        <f t="shared" si="5"/>
        <v>3.021795</v>
      </c>
      <c r="U27" s="7">
        <f t="shared" si="5"/>
        <v>2.8838249999999994</v>
      </c>
      <c r="V27" s="7">
        <f t="shared" si="5"/>
        <v>0.7705249999999999</v>
      </c>
      <c r="W27" s="7">
        <f t="shared" si="5"/>
        <v>2.1919349</v>
      </c>
      <c r="X27" s="7">
        <f t="shared" si="5"/>
        <v>0.6161583</v>
      </c>
      <c r="Y27" s="7">
        <f t="shared" si="5"/>
        <v>2.2463132999999997</v>
      </c>
      <c r="Z27" s="7">
        <f t="shared" si="5"/>
        <v>5.4421504</v>
      </c>
      <c r="AA27" s="7">
        <f t="shared" si="5"/>
        <v>5.089353599999999</v>
      </c>
      <c r="AB27" s="7">
        <f t="shared" si="5"/>
        <v>4.4563419</v>
      </c>
      <c r="AC27" s="7">
        <f t="shared" si="5"/>
        <v>65.54556840000001</v>
      </c>
      <c r="AD27" s="7">
        <v>0</v>
      </c>
      <c r="AE27" s="7">
        <f>SUM(M27:AD27)</f>
        <v>102.154724</v>
      </c>
      <c r="AF27" s="7"/>
    </row>
    <row r="28" spans="1:32" ht="15">
      <c r="A28" s="30" t="s">
        <v>137</v>
      </c>
      <c r="B28" s="31"/>
      <c r="E28" s="3">
        <v>17.5</v>
      </c>
      <c r="H28" s="13" t="s">
        <v>223</v>
      </c>
      <c r="I28" s="7"/>
      <c r="J28" s="7"/>
      <c r="K28" s="7"/>
      <c r="L28" s="7" t="s">
        <v>66</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row>
    <row r="29" spans="4:32" ht="15">
      <c r="D29" s="1">
        <v>0.51</v>
      </c>
      <c r="E29" s="3">
        <v>4.8</v>
      </c>
      <c r="H29" s="13" t="s">
        <v>224</v>
      </c>
      <c r="I29" s="7"/>
      <c r="J29" s="7"/>
      <c r="K29" s="7"/>
      <c r="L29" s="7" t="s">
        <v>67</v>
      </c>
      <c r="M29" s="7">
        <f aca="true" t="shared" si="6" ref="M29:AE29">M27+M28</f>
        <v>2.7143949999999997</v>
      </c>
      <c r="N29" s="7">
        <f t="shared" si="6"/>
        <v>1.866273</v>
      </c>
      <c r="O29" s="7">
        <f t="shared" si="6"/>
        <v>0.2400417</v>
      </c>
      <c r="P29" s="7">
        <f t="shared" si="6"/>
        <v>0.7837867000000001</v>
      </c>
      <c r="Q29" s="7">
        <f t="shared" si="6"/>
        <v>0.49514040000000004</v>
      </c>
      <c r="R29" s="7">
        <f t="shared" si="6"/>
        <v>2.2301631</v>
      </c>
      <c r="S29" s="7">
        <f t="shared" si="6"/>
        <v>1.5609583</v>
      </c>
      <c r="T29" s="7">
        <f t="shared" si="6"/>
        <v>3.021795</v>
      </c>
      <c r="U29" s="7">
        <f t="shared" si="6"/>
        <v>2.8838249999999994</v>
      </c>
      <c r="V29" s="7">
        <f t="shared" si="6"/>
        <v>0.7705249999999999</v>
      </c>
      <c r="W29" s="7">
        <f t="shared" si="6"/>
        <v>2.1919349</v>
      </c>
      <c r="X29" s="7">
        <f t="shared" si="6"/>
        <v>0.6161583</v>
      </c>
      <c r="Y29" s="7">
        <f t="shared" si="6"/>
        <v>2.2463132999999997</v>
      </c>
      <c r="Z29" s="7">
        <f t="shared" si="6"/>
        <v>5.4421504</v>
      </c>
      <c r="AA29" s="7">
        <f t="shared" si="6"/>
        <v>5.089353599999999</v>
      </c>
      <c r="AB29" s="7">
        <f t="shared" si="6"/>
        <v>4.4563419</v>
      </c>
      <c r="AC29" s="7">
        <f t="shared" si="6"/>
        <v>65.54556840000001</v>
      </c>
      <c r="AD29" s="7">
        <f t="shared" si="6"/>
        <v>0</v>
      </c>
      <c r="AE29" s="7">
        <f t="shared" si="6"/>
        <v>102.154724</v>
      </c>
      <c r="AF29" s="7"/>
    </row>
    <row r="30" spans="2:32" ht="15">
      <c r="B30" s="2" t="s">
        <v>301</v>
      </c>
      <c r="C30" s="1">
        <v>90</v>
      </c>
      <c r="D30" s="9"/>
      <c r="E30" s="3">
        <v>9.5</v>
      </c>
      <c r="H30" s="13" t="s">
        <v>225</v>
      </c>
      <c r="I30" s="7"/>
      <c r="J30" s="7"/>
      <c r="K30" s="7"/>
      <c r="L30" s="7" t="s">
        <v>68</v>
      </c>
      <c r="M30" s="7">
        <f>M25/AE25</f>
        <v>0.06328718536308887</v>
      </c>
      <c r="N30" s="7">
        <f>N25/AE25</f>
        <v>0.04351288787708789</v>
      </c>
      <c r="O30" s="7">
        <f>O25/AE25</f>
        <v>0.00559666649944867</v>
      </c>
      <c r="P30" s="7">
        <f>P25/AE25</f>
        <v>0.018274294702143107</v>
      </c>
      <c r="Q30" s="7">
        <f>Q25/AE25</f>
        <v>0.011544392866754462</v>
      </c>
      <c r="R30" s="7">
        <f>R25/AE25</f>
        <v>0.05199712845758297</v>
      </c>
      <c r="S30" s="7">
        <f>S25/AE25</f>
        <v>0.03639435575004821</v>
      </c>
      <c r="T30" s="7">
        <f>T25/AE25</f>
        <v>0.07045433707852217</v>
      </c>
      <c r="U30" s="7">
        <f>U25/AE25</f>
        <v>0.06723751234794853</v>
      </c>
      <c r="V30" s="7">
        <f>V25/AE25</f>
        <v>0.0179650929587971</v>
      </c>
      <c r="W30" s="7">
        <f>W25/AE25</f>
        <v>0.05110582296243683</v>
      </c>
      <c r="X30" s="7">
        <f>X25/AE25</f>
        <v>0.014365972728768559</v>
      </c>
      <c r="Y30" s="7">
        <f>Y25/AE25</f>
        <v>0.05237367671273778</v>
      </c>
      <c r="Z30" s="7">
        <f>Z25/AE25</f>
        <v>0.1268858736987831</v>
      </c>
      <c r="AA30" s="7">
        <f>AA25/AE25</f>
        <v>0.11866027776410716</v>
      </c>
      <c r="AB30" s="7">
        <f>AB25/AE25</f>
        <v>0.10390136139603842</v>
      </c>
      <c r="AC30" s="7">
        <f>AC25/AE25</f>
        <v>0.07137152732264189</v>
      </c>
      <c r="AD30" s="7">
        <f>AD25/AE25</f>
        <v>0.07507163351306424</v>
      </c>
      <c r="AE30" s="7">
        <f>AE25/AE25</f>
        <v>1</v>
      </c>
      <c r="AF30" s="7"/>
    </row>
    <row r="31" spans="1:32" ht="15">
      <c r="A31" s="30" t="s">
        <v>105</v>
      </c>
      <c r="B31" s="31"/>
      <c r="D31" s="9"/>
      <c r="E31" s="3">
        <v>16.1</v>
      </c>
      <c r="H31" s="13" t="s">
        <v>226</v>
      </c>
      <c r="I31" s="7"/>
      <c r="J31" s="7"/>
      <c r="K31" s="7"/>
      <c r="L31" s="7" t="s">
        <v>69</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1</v>
      </c>
      <c r="AE31" s="7"/>
      <c r="AF31" s="7"/>
    </row>
    <row r="32" spans="1:32" ht="15">
      <c r="A32" s="30" t="s">
        <v>138</v>
      </c>
      <c r="B32" s="31"/>
      <c r="H32" s="13" t="s">
        <v>227</v>
      </c>
      <c r="I32" s="7"/>
      <c r="J32" s="7"/>
      <c r="K32" s="7"/>
      <c r="L32" s="7" t="s">
        <v>70</v>
      </c>
      <c r="M32" s="3">
        <f aca="true" t="shared" si="7" ref="M32:AD32">M27/$AE$27</f>
        <v>0.026571409463159036</v>
      </c>
      <c r="N32" s="3">
        <f t="shared" si="7"/>
        <v>0.018269081711776738</v>
      </c>
      <c r="O32" s="3">
        <f t="shared" si="7"/>
        <v>0.0023497856056074315</v>
      </c>
      <c r="P32" s="3">
        <f t="shared" si="7"/>
        <v>0.007672544835028873</v>
      </c>
      <c r="Q32" s="3">
        <f t="shared" si="7"/>
        <v>0.004846965275927915</v>
      </c>
      <c r="R32" s="3">
        <f t="shared" si="7"/>
        <v>0.021831228284655734</v>
      </c>
      <c r="S32" s="3">
        <f t="shared" si="7"/>
        <v>0.015280333976527605</v>
      </c>
      <c r="T32" s="3">
        <f t="shared" si="7"/>
        <v>0.029580570351303577</v>
      </c>
      <c r="U32" s="3">
        <f t="shared" si="7"/>
        <v>0.028229972017740457</v>
      </c>
      <c r="V32" s="3">
        <f t="shared" si="7"/>
        <v>0.007542725092184673</v>
      </c>
      <c r="W32" s="3">
        <f t="shared" si="7"/>
        <v>0.02145700966310672</v>
      </c>
      <c r="X32" s="3">
        <f t="shared" si="7"/>
        <v>0.00603161827347309</v>
      </c>
      <c r="Y32" s="3">
        <f t="shared" si="7"/>
        <v>0.021989323763431632</v>
      </c>
      <c r="Z32" s="3">
        <f t="shared" si="7"/>
        <v>0.05327360485061856</v>
      </c>
      <c r="AA32" s="3">
        <f t="shared" si="7"/>
        <v>0.04982005139576315</v>
      </c>
      <c r="AB32" s="3">
        <f t="shared" si="7"/>
        <v>0.043623453967728404</v>
      </c>
      <c r="AC32" s="3">
        <f t="shared" si="7"/>
        <v>0.6416303214719664</v>
      </c>
      <c r="AD32" s="3">
        <f t="shared" si="7"/>
        <v>0</v>
      </c>
      <c r="AE32" s="7"/>
      <c r="AF32" s="7"/>
    </row>
    <row r="33" spans="8:32" ht="15">
      <c r="H33" s="13" t="s">
        <v>228</v>
      </c>
      <c r="I33" s="7"/>
      <c r="J33" s="7"/>
      <c r="K33" s="7"/>
      <c r="L33" s="7" t="s">
        <v>71</v>
      </c>
      <c r="M33" s="7">
        <f>M30</f>
        <v>0.06328718536308887</v>
      </c>
      <c r="N33" s="7">
        <f>M30+N30</f>
        <v>0.10680007324017676</v>
      </c>
      <c r="O33" s="7">
        <f aca="true" t="shared" si="8" ref="O33:AD33">N33+O30</f>
        <v>0.11239673973962544</v>
      </c>
      <c r="P33" s="7">
        <f t="shared" si="8"/>
        <v>0.13067103444176856</v>
      </c>
      <c r="Q33" s="7">
        <f t="shared" si="8"/>
        <v>0.14221542730852302</v>
      </c>
      <c r="R33" s="7">
        <f t="shared" si="8"/>
        <v>0.194212555766106</v>
      </c>
      <c r="S33" s="7">
        <f t="shared" si="8"/>
        <v>0.2306069115161542</v>
      </c>
      <c r="T33" s="7">
        <f t="shared" si="8"/>
        <v>0.30106124859467637</v>
      </c>
      <c r="U33" s="7">
        <f t="shared" si="8"/>
        <v>0.3682987609426249</v>
      </c>
      <c r="V33" s="7">
        <f t="shared" si="8"/>
        <v>0.38626385390142204</v>
      </c>
      <c r="W33" s="7">
        <f t="shared" si="8"/>
        <v>0.43736967686385886</v>
      </c>
      <c r="X33" s="7">
        <f t="shared" si="8"/>
        <v>0.4517356495926274</v>
      </c>
      <c r="Y33" s="7">
        <f t="shared" si="8"/>
        <v>0.5041093263053652</v>
      </c>
      <c r="Z33" s="7">
        <f t="shared" si="8"/>
        <v>0.6309952000041483</v>
      </c>
      <c r="AA33" s="7">
        <f t="shared" si="8"/>
        <v>0.7496554777682555</v>
      </c>
      <c r="AB33" s="7">
        <f t="shared" si="8"/>
        <v>0.8535568391642939</v>
      </c>
      <c r="AC33" s="7">
        <f t="shared" si="8"/>
        <v>0.9249283664869358</v>
      </c>
      <c r="AD33" s="7">
        <f t="shared" si="8"/>
        <v>1</v>
      </c>
      <c r="AE33" s="7"/>
      <c r="AF33" s="7"/>
    </row>
    <row r="34" spans="4:32" ht="15">
      <c r="D34" s="1">
        <v>0.49</v>
      </c>
      <c r="E34" s="3">
        <v>4</v>
      </c>
      <c r="H34" s="13" t="s">
        <v>230</v>
      </c>
      <c r="I34" s="7"/>
      <c r="J34" s="7"/>
      <c r="K34" s="7"/>
      <c r="L34" s="7" t="s">
        <v>72</v>
      </c>
      <c r="M34" s="7">
        <f aca="true" t="shared" si="9" ref="M34:AC34">M33+M31</f>
        <v>0.06328718536308887</v>
      </c>
      <c r="N34" s="13">
        <f t="shared" si="9"/>
        <v>0.10680007324017676</v>
      </c>
      <c r="O34" s="13">
        <f t="shared" si="9"/>
        <v>0.11239673973962544</v>
      </c>
      <c r="P34" s="13">
        <f t="shared" si="9"/>
        <v>0.13067103444176856</v>
      </c>
      <c r="Q34" s="13">
        <f t="shared" si="9"/>
        <v>0.14221542730852302</v>
      </c>
      <c r="R34" s="13">
        <f t="shared" si="9"/>
        <v>0.194212555766106</v>
      </c>
      <c r="S34" s="13">
        <f t="shared" si="9"/>
        <v>0.2306069115161542</v>
      </c>
      <c r="T34" s="13">
        <f t="shared" si="9"/>
        <v>0.30106124859467637</v>
      </c>
      <c r="U34" s="13">
        <f t="shared" si="9"/>
        <v>0.3682987609426249</v>
      </c>
      <c r="V34" s="13">
        <f t="shared" si="9"/>
        <v>0.38626385390142204</v>
      </c>
      <c r="W34" s="13">
        <f t="shared" si="9"/>
        <v>0.43736967686385886</v>
      </c>
      <c r="X34" s="13">
        <f t="shared" si="9"/>
        <v>0.4517356495926274</v>
      </c>
      <c r="Y34" s="13">
        <f t="shared" si="9"/>
        <v>0.5041093263053652</v>
      </c>
      <c r="Z34" s="13">
        <f t="shared" si="9"/>
        <v>0.6309952000041483</v>
      </c>
      <c r="AA34" s="13">
        <f t="shared" si="9"/>
        <v>0.7496554777682555</v>
      </c>
      <c r="AB34" s="13">
        <f t="shared" si="9"/>
        <v>0.8535568391642939</v>
      </c>
      <c r="AC34" s="13">
        <f t="shared" si="9"/>
        <v>0.9249283664869358</v>
      </c>
      <c r="AD34" s="13"/>
      <c r="AE34" s="13"/>
      <c r="AF34" s="13"/>
    </row>
    <row r="35" spans="2:32" ht="15">
      <c r="B35" s="2" t="s">
        <v>298</v>
      </c>
      <c r="C35" s="1">
        <v>89</v>
      </c>
      <c r="D35" s="9"/>
      <c r="E35" s="3">
        <v>8.2</v>
      </c>
      <c r="H35" s="7" t="s">
        <v>229</v>
      </c>
      <c r="I35" s="7"/>
      <c r="J35" s="7"/>
      <c r="K35" s="7"/>
      <c r="L35" s="7" t="s">
        <v>73</v>
      </c>
      <c r="M35" s="7">
        <f>M32</f>
        <v>0.026571409463159036</v>
      </c>
      <c r="N35" s="7">
        <f aca="true" t="shared" si="10" ref="N35:AD35">M35+N32</f>
        <v>0.04484049117493577</v>
      </c>
      <c r="O35" s="7">
        <f t="shared" si="10"/>
        <v>0.0471902767805432</v>
      </c>
      <c r="P35" s="7">
        <f t="shared" si="10"/>
        <v>0.05486282161557208</v>
      </c>
      <c r="Q35" s="7">
        <f t="shared" si="10"/>
        <v>0.05970978689149999</v>
      </c>
      <c r="R35" s="7">
        <f t="shared" si="10"/>
        <v>0.08154101517615572</v>
      </c>
      <c r="S35" s="7">
        <f t="shared" si="10"/>
        <v>0.09682134915268333</v>
      </c>
      <c r="T35" s="7">
        <f t="shared" si="10"/>
        <v>0.1264019195039869</v>
      </c>
      <c r="U35" s="7">
        <f t="shared" si="10"/>
        <v>0.15463189152172738</v>
      </c>
      <c r="V35" s="7">
        <f t="shared" si="10"/>
        <v>0.16217461661391205</v>
      </c>
      <c r="W35" s="7">
        <f t="shared" si="10"/>
        <v>0.1836316262770188</v>
      </c>
      <c r="X35" s="7">
        <f t="shared" si="10"/>
        <v>0.18966324455049188</v>
      </c>
      <c r="Y35" s="7">
        <f t="shared" si="10"/>
        <v>0.2116525683139235</v>
      </c>
      <c r="Z35" s="7">
        <f t="shared" si="10"/>
        <v>0.2649261731645421</v>
      </c>
      <c r="AA35" s="7">
        <f t="shared" si="10"/>
        <v>0.3147462245603052</v>
      </c>
      <c r="AB35" s="7">
        <f t="shared" si="10"/>
        <v>0.3583696785280336</v>
      </c>
      <c r="AC35" s="7">
        <f t="shared" si="10"/>
        <v>1</v>
      </c>
      <c r="AD35" s="7">
        <f t="shared" si="10"/>
        <v>1</v>
      </c>
      <c r="AE35" s="7"/>
      <c r="AF35" s="7"/>
    </row>
    <row r="36" spans="1:25" ht="15">
      <c r="A36" s="30" t="s">
        <v>103</v>
      </c>
      <c r="B36" s="31"/>
      <c r="D36" s="9"/>
      <c r="E36" s="3">
        <v>16.5</v>
      </c>
      <c r="H36" s="7"/>
      <c r="I36" s="7"/>
      <c r="J36" s="7"/>
      <c r="K36" s="7"/>
      <c r="L36" s="7"/>
      <c r="M36" s="7"/>
      <c r="N36" s="7"/>
      <c r="O36" s="7"/>
      <c r="P36" s="7"/>
      <c r="Q36" s="7"/>
      <c r="R36" s="7"/>
      <c r="S36" s="7"/>
      <c r="T36" s="7"/>
      <c r="U36" s="7"/>
      <c r="V36" s="7"/>
      <c r="W36" s="7"/>
      <c r="X36" s="7"/>
      <c r="Y36" s="7"/>
    </row>
    <row r="37" spans="1:25" ht="15">
      <c r="A37" s="30" t="s">
        <v>138</v>
      </c>
      <c r="B37" s="31"/>
      <c r="H37" s="4" t="s">
        <v>231</v>
      </c>
      <c r="J37" s="1"/>
      <c r="K37" s="1"/>
      <c r="L37" s="1"/>
      <c r="M37" s="1"/>
      <c r="N37" s="1"/>
      <c r="O37" s="1"/>
      <c r="P37" s="1"/>
      <c r="Q37" s="1"/>
      <c r="R37" s="1"/>
      <c r="S37" s="1"/>
      <c r="T37" s="1"/>
      <c r="U37" s="1"/>
      <c r="V37" s="1"/>
      <c r="W37" s="1"/>
      <c r="X37" s="1"/>
      <c r="Y37" s="1"/>
    </row>
    <row r="38" spans="8:9" ht="15">
      <c r="H38" s="1"/>
      <c r="I38" s="17"/>
    </row>
    <row r="39" spans="4:5" ht="14.25">
      <c r="D39" s="1">
        <v>0.5</v>
      </c>
      <c r="E39" s="3">
        <v>2.9</v>
      </c>
    </row>
    <row r="40" spans="2:5" ht="15">
      <c r="B40" s="2" t="s">
        <v>330</v>
      </c>
      <c r="C40" s="1">
        <v>89</v>
      </c>
      <c r="D40" s="9"/>
      <c r="E40" s="3">
        <v>6.9</v>
      </c>
    </row>
    <row r="41" spans="1:5" ht="15">
      <c r="A41" s="30" t="s">
        <v>98</v>
      </c>
      <c r="B41" s="31"/>
      <c r="D41" s="9"/>
      <c r="E41" s="3">
        <v>15.7</v>
      </c>
    </row>
    <row r="42" spans="1:5" ht="15">
      <c r="A42" s="30" t="s">
        <v>139</v>
      </c>
      <c r="B42" s="31"/>
      <c r="E42" s="3">
        <v>15.7</v>
      </c>
    </row>
    <row r="44" spans="4:5" ht="14.25">
      <c r="D44" s="1">
        <v>0.51</v>
      </c>
      <c r="E44" s="3">
        <v>2</v>
      </c>
    </row>
    <row r="45" spans="2:5" ht="15">
      <c r="B45" s="2" t="s">
        <v>239</v>
      </c>
      <c r="C45" s="1">
        <v>88</v>
      </c>
      <c r="D45" s="9"/>
      <c r="E45" s="3">
        <v>5.5</v>
      </c>
    </row>
    <row r="46" spans="1:5" ht="15">
      <c r="A46" s="30" t="s">
        <v>140</v>
      </c>
      <c r="B46" s="31"/>
      <c r="D46" s="9"/>
      <c r="E46" s="3">
        <v>12.5</v>
      </c>
    </row>
    <row r="47" spans="1:5" ht="15">
      <c r="A47" s="30" t="s">
        <v>141</v>
      </c>
      <c r="B47" s="31"/>
      <c r="E47" s="3">
        <v>18.1</v>
      </c>
    </row>
    <row r="48" ht="14.25">
      <c r="E48" s="3">
        <v>18.1</v>
      </c>
    </row>
    <row r="51" ht="15">
      <c r="A51" s="2"/>
    </row>
    <row r="93" ht="15">
      <c r="A93" s="2"/>
    </row>
    <row r="135" ht="15">
      <c r="A135" s="2"/>
    </row>
    <row r="145" ht="15">
      <c r="A145" s="2"/>
    </row>
    <row r="186" ht="15">
      <c r="A186" s="2"/>
    </row>
  </sheetData>
  <mergeCells count="16">
    <mergeCell ref="A47:B47"/>
    <mergeCell ref="A4:B4"/>
    <mergeCell ref="A18:B18"/>
    <mergeCell ref="A5:B5"/>
    <mergeCell ref="A19:B19"/>
    <mergeCell ref="A23:B23"/>
    <mergeCell ref="A27:B27"/>
    <mergeCell ref="A24:B24"/>
    <mergeCell ref="A28:B28"/>
    <mergeCell ref="A41:B41"/>
    <mergeCell ref="A46:B46"/>
    <mergeCell ref="A31:B31"/>
    <mergeCell ref="A36:B36"/>
    <mergeCell ref="A32:B32"/>
    <mergeCell ref="A37:B37"/>
    <mergeCell ref="A42:B4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F186"/>
  <sheetViews>
    <sheetView workbookViewId="0" topLeftCell="A1">
      <pane xSplit="5" ySplit="1" topLeftCell="F2" activePane="bottomRight" state="frozen"/>
      <selection pane="topLeft" activeCell="A1" sqref="A1"/>
      <selection pane="topRight" activeCell="D1" sqref="D1"/>
      <selection pane="bottomLeft" activeCell="A2" sqref="A2"/>
      <selection pane="bottomRight" activeCell="B26" sqref="B26"/>
    </sheetView>
  </sheetViews>
  <sheetFormatPr defaultColWidth="9.00390625" defaultRowHeight="14.25"/>
  <cols>
    <col min="1" max="1" width="11.125" style="15" customWidth="1"/>
    <col min="2" max="2" width="5.00390625" style="1" customWidth="1"/>
    <col min="3" max="3" width="6.00390625" style="1" customWidth="1"/>
    <col min="4" max="5" width="6.50390625" style="1" customWidth="1"/>
    <col min="6" max="7" width="3.75390625" style="3" customWidth="1"/>
    <col min="8" max="8" width="4.875" style="3" customWidth="1"/>
    <col min="9" max="9" width="7.75390625" style="3" customWidth="1"/>
    <col min="10" max="10" width="4.875" style="3" customWidth="1"/>
    <col min="11" max="11" width="11.625" style="3" customWidth="1"/>
    <col min="12" max="222" width="4.875" style="3" customWidth="1"/>
    <col min="223" max="16384" width="6.50390625" style="3" customWidth="1"/>
  </cols>
  <sheetData>
    <row r="1" spans="1:5" ht="36">
      <c r="A1" s="18" t="s">
        <v>195</v>
      </c>
      <c r="B1" s="22" t="s">
        <v>196</v>
      </c>
      <c r="C1" s="19" t="s">
        <v>197</v>
      </c>
      <c r="D1" s="19" t="s">
        <v>199</v>
      </c>
      <c r="E1" s="2" t="s">
        <v>198</v>
      </c>
    </row>
    <row r="3" spans="1:32" ht="12">
      <c r="A3" s="18" t="s">
        <v>0</v>
      </c>
      <c r="B3" s="2" t="s">
        <v>245</v>
      </c>
      <c r="C3" s="1">
        <v>88</v>
      </c>
      <c r="D3" s="1">
        <v>0.44</v>
      </c>
      <c r="F3" s="3">
        <v>1.8</v>
      </c>
      <c r="H3" s="1"/>
      <c r="I3" s="1"/>
      <c r="J3" s="1"/>
      <c r="K3" s="1"/>
      <c r="L3" s="1"/>
      <c r="M3" s="1"/>
      <c r="N3" s="1"/>
      <c r="O3" s="1"/>
      <c r="P3" s="1"/>
      <c r="Q3" s="1"/>
      <c r="R3" s="1"/>
      <c r="S3" s="1"/>
      <c r="T3" s="1"/>
      <c r="U3" s="1"/>
      <c r="V3" s="1"/>
      <c r="W3" s="1"/>
      <c r="X3" s="1"/>
      <c r="Y3" s="1"/>
      <c r="Z3" s="1"/>
      <c r="AA3" s="1"/>
      <c r="AB3" s="1"/>
      <c r="AC3" s="1"/>
      <c r="AD3" s="1"/>
      <c r="AE3" s="1"/>
      <c r="AF3" s="1"/>
    </row>
    <row r="4" spans="1:32" ht="12">
      <c r="A4" s="28" t="s">
        <v>142</v>
      </c>
      <c r="B4" s="28"/>
      <c r="D4" s="8"/>
      <c r="F4" s="3">
        <v>5.7</v>
      </c>
      <c r="H4" s="7"/>
      <c r="I4" s="7"/>
      <c r="J4" s="7"/>
      <c r="K4" s="7"/>
      <c r="L4" s="7"/>
      <c r="M4" s="7"/>
      <c r="N4" s="7"/>
      <c r="O4" s="7"/>
      <c r="P4" s="7"/>
      <c r="Q4" s="7"/>
      <c r="R4" s="7"/>
      <c r="S4" s="7"/>
      <c r="T4" s="7"/>
      <c r="U4" s="7"/>
      <c r="V4" s="7"/>
      <c r="W4" s="7"/>
      <c r="X4" s="7"/>
      <c r="Y4" s="7"/>
      <c r="Z4" s="7"/>
      <c r="AA4" s="7"/>
      <c r="AB4" s="7"/>
      <c r="AC4" s="7"/>
      <c r="AD4" s="7"/>
      <c r="AE4" s="7"/>
      <c r="AF4" s="7"/>
    </row>
    <row r="5" spans="1:32" ht="12">
      <c r="A5" s="28" t="s">
        <v>143</v>
      </c>
      <c r="B5" s="28"/>
      <c r="D5" s="8"/>
      <c r="F5" s="3">
        <v>14.8</v>
      </c>
      <c r="H5" s="7"/>
      <c r="I5" s="7"/>
      <c r="J5" s="7"/>
      <c r="K5" s="7"/>
      <c r="L5" s="7"/>
      <c r="M5" s="7"/>
      <c r="N5" s="7"/>
      <c r="O5" s="7"/>
      <c r="P5" s="7"/>
      <c r="Q5" s="7"/>
      <c r="R5" s="7"/>
      <c r="S5" s="7"/>
      <c r="T5" s="7"/>
      <c r="U5" s="7"/>
      <c r="V5" s="7"/>
      <c r="W5" s="7"/>
      <c r="X5" s="7"/>
      <c r="Y5" s="7"/>
      <c r="Z5" s="7"/>
      <c r="AA5" s="7"/>
      <c r="AB5" s="7"/>
      <c r="AC5" s="7"/>
      <c r="AD5" s="7"/>
      <c r="AE5" s="7"/>
      <c r="AF5" s="7"/>
    </row>
    <row r="6" spans="6:32" ht="12">
      <c r="F6" s="3">
        <v>20.3</v>
      </c>
      <c r="H6" s="7"/>
      <c r="I6" s="7" t="s">
        <v>74</v>
      </c>
      <c r="J6" s="13" t="s">
        <v>273</v>
      </c>
      <c r="K6" s="7"/>
      <c r="L6" s="7"/>
      <c r="M6" s="7"/>
      <c r="N6" s="7"/>
      <c r="O6" s="7"/>
      <c r="P6" s="7"/>
      <c r="Q6" s="7"/>
      <c r="R6" s="7"/>
      <c r="S6" s="7"/>
      <c r="T6" s="7"/>
      <c r="U6" s="7"/>
      <c r="V6" s="7"/>
      <c r="W6" s="7"/>
      <c r="X6" s="7"/>
      <c r="Y6" s="7"/>
      <c r="Z6" s="7"/>
      <c r="AA6" s="7"/>
      <c r="AB6" s="7"/>
      <c r="AC6" s="7"/>
      <c r="AD6" s="7"/>
      <c r="AE6" s="7"/>
      <c r="AF6" s="7"/>
    </row>
    <row r="7" spans="6:32" ht="11.25">
      <c r="F7" s="3">
        <v>20.3</v>
      </c>
      <c r="H7" s="7"/>
      <c r="I7" s="7"/>
      <c r="J7" s="7"/>
      <c r="K7" s="7"/>
      <c r="L7" s="7"/>
      <c r="M7" s="7"/>
      <c r="N7" s="7"/>
      <c r="O7" s="7"/>
      <c r="P7" s="7"/>
      <c r="Q7" s="7"/>
      <c r="R7" s="7"/>
      <c r="S7" s="7"/>
      <c r="T7" s="7"/>
      <c r="U7" s="7"/>
      <c r="V7" s="7"/>
      <c r="W7" s="7"/>
      <c r="X7" s="7"/>
      <c r="Y7" s="7"/>
      <c r="Z7" s="7"/>
      <c r="AA7" s="7"/>
      <c r="AB7" s="7"/>
      <c r="AC7" s="7"/>
      <c r="AD7" s="7"/>
      <c r="AE7" s="7"/>
      <c r="AF7" s="7"/>
    </row>
    <row r="8" spans="2:32" ht="12">
      <c r="B8" s="2" t="s">
        <v>321</v>
      </c>
      <c r="C8" s="1">
        <v>87</v>
      </c>
      <c r="D8" s="1">
        <v>0.45</v>
      </c>
      <c r="F8" s="3">
        <v>3.1</v>
      </c>
      <c r="H8" s="7"/>
      <c r="I8" s="7" t="s">
        <v>42</v>
      </c>
      <c r="J8" s="7" t="s">
        <v>43</v>
      </c>
      <c r="K8" s="7" t="s">
        <v>44</v>
      </c>
      <c r="L8" s="7" t="s">
        <v>45</v>
      </c>
      <c r="M8" s="7"/>
      <c r="N8" s="7"/>
      <c r="O8" s="7"/>
      <c r="P8" s="7"/>
      <c r="Q8" s="7"/>
      <c r="R8" s="7"/>
      <c r="S8" s="7"/>
      <c r="T8" s="7"/>
      <c r="U8" s="7"/>
      <c r="V8" s="7"/>
      <c r="W8" s="7"/>
      <c r="X8" s="7"/>
      <c r="Y8" s="7"/>
      <c r="Z8" s="7"/>
      <c r="AA8" s="7"/>
      <c r="AB8" s="7"/>
      <c r="AC8" s="7"/>
      <c r="AD8" s="7"/>
      <c r="AE8" s="7"/>
      <c r="AF8" s="7"/>
    </row>
    <row r="9" spans="1:32" ht="12">
      <c r="A9" s="28" t="s">
        <v>144</v>
      </c>
      <c r="B9" s="28"/>
      <c r="D9" s="8"/>
      <c r="F9" s="3">
        <v>12.7</v>
      </c>
      <c r="H9" s="7"/>
      <c r="I9" s="7"/>
      <c r="J9" s="7"/>
      <c r="K9" s="7"/>
      <c r="L9" s="13" t="s">
        <v>203</v>
      </c>
      <c r="M9" s="7"/>
      <c r="N9" s="7"/>
      <c r="O9" s="7"/>
      <c r="P9" s="7"/>
      <c r="Q9" s="7"/>
      <c r="R9" s="7"/>
      <c r="S9" s="7"/>
      <c r="T9" s="7"/>
      <c r="U9" s="7"/>
      <c r="V9" s="7"/>
      <c r="W9" s="7"/>
      <c r="X9" s="7"/>
      <c r="Y9" s="7"/>
      <c r="Z9" s="7"/>
      <c r="AA9" s="7"/>
      <c r="AB9" s="7"/>
      <c r="AC9" s="7"/>
      <c r="AD9" s="7"/>
      <c r="AE9" s="7"/>
      <c r="AF9" s="7"/>
    </row>
    <row r="10" spans="1:32" ht="12">
      <c r="A10" s="28" t="s">
        <v>25</v>
      </c>
      <c r="B10" s="28"/>
      <c r="D10" s="8"/>
      <c r="F10" s="3">
        <v>21.2</v>
      </c>
      <c r="H10" s="7"/>
      <c r="I10" s="10">
        <v>37005</v>
      </c>
      <c r="J10" s="7">
        <v>10</v>
      </c>
      <c r="K10" s="7">
        <v>46</v>
      </c>
      <c r="L10" s="7">
        <v>43</v>
      </c>
      <c r="M10" s="7"/>
      <c r="N10" s="7"/>
      <c r="O10" s="7"/>
      <c r="P10" s="7"/>
      <c r="Q10" s="7"/>
      <c r="R10" s="7"/>
      <c r="S10" s="7"/>
      <c r="T10" s="7"/>
      <c r="U10" s="7"/>
      <c r="V10" s="7"/>
      <c r="W10" s="7"/>
      <c r="X10" s="7"/>
      <c r="Y10" s="7"/>
      <c r="Z10" s="7"/>
      <c r="AA10" s="7"/>
      <c r="AB10" s="7"/>
      <c r="AC10" s="7"/>
      <c r="AD10" s="7"/>
      <c r="AE10" s="7"/>
      <c r="AF10" s="7"/>
    </row>
    <row r="11" spans="6:25" ht="11.25">
      <c r="F11" s="3">
        <v>22.9</v>
      </c>
      <c r="H11" s="6"/>
      <c r="I11" s="6"/>
      <c r="J11" s="6"/>
      <c r="K11" s="6"/>
      <c r="L11" s="6"/>
      <c r="M11" s="6" t="s">
        <v>75</v>
      </c>
      <c r="N11" s="6" t="s">
        <v>76</v>
      </c>
      <c r="O11" s="6" t="s">
        <v>77</v>
      </c>
      <c r="P11" s="6" t="s">
        <v>78</v>
      </c>
      <c r="Q11" s="6" t="s">
        <v>79</v>
      </c>
      <c r="R11" s="6" t="s">
        <v>80</v>
      </c>
      <c r="S11" s="6" t="s">
        <v>81</v>
      </c>
      <c r="T11" s="6" t="s">
        <v>82</v>
      </c>
      <c r="U11" s="6" t="s">
        <v>83</v>
      </c>
      <c r="V11" s="6" t="s">
        <v>84</v>
      </c>
      <c r="W11" s="6" t="s">
        <v>85</v>
      </c>
      <c r="X11" s="6" t="s">
        <v>86</v>
      </c>
      <c r="Y11" s="6"/>
    </row>
    <row r="12" spans="2:23" ht="12">
      <c r="B12" s="2" t="s">
        <v>248</v>
      </c>
      <c r="C12" s="1">
        <v>86</v>
      </c>
      <c r="D12" s="1">
        <v>0.43</v>
      </c>
      <c r="F12" s="3">
        <v>2</v>
      </c>
      <c r="M12" s="4" t="s">
        <v>240</v>
      </c>
      <c r="W12" s="4" t="s">
        <v>241</v>
      </c>
    </row>
    <row r="13" spans="1:23" ht="12">
      <c r="A13" s="28" t="s">
        <v>145</v>
      </c>
      <c r="B13" s="28"/>
      <c r="D13" s="8"/>
      <c r="F13" s="3">
        <v>7.4</v>
      </c>
      <c r="H13" s="23" t="s">
        <v>210</v>
      </c>
      <c r="L13" s="3" t="s">
        <v>96</v>
      </c>
      <c r="M13" s="3">
        <v>7.042833300000001</v>
      </c>
      <c r="N13" s="3">
        <v>4.1324585</v>
      </c>
      <c r="O13" s="3">
        <v>5.523102100000001</v>
      </c>
      <c r="P13" s="3">
        <v>8.1773899</v>
      </c>
      <c r="Q13" s="3">
        <v>12.9348608</v>
      </c>
      <c r="R13" s="3">
        <v>8.147416169999998</v>
      </c>
      <c r="S13" s="3">
        <v>0.27117519999999995</v>
      </c>
      <c r="T13" s="3">
        <v>0.04362259</v>
      </c>
      <c r="U13" s="3">
        <v>0</v>
      </c>
      <c r="V13" s="3">
        <v>0</v>
      </c>
      <c r="W13" s="3">
        <f>SUM(M13:V13)</f>
        <v>46.27285856</v>
      </c>
    </row>
    <row r="14" spans="1:23" ht="12">
      <c r="A14" s="28" t="s">
        <v>26</v>
      </c>
      <c r="B14" s="28"/>
      <c r="D14" s="8"/>
      <c r="F14" s="3">
        <v>18.1</v>
      </c>
      <c r="H14" s="23" t="s">
        <v>211</v>
      </c>
      <c r="L14" s="3" t="s">
        <v>88</v>
      </c>
      <c r="M14" s="3">
        <f>M13/$W$13</f>
        <v>0.15220225244714167</v>
      </c>
      <c r="N14" s="3">
        <f aca="true" t="shared" si="0" ref="N14:V14">N13/$W$13</f>
        <v>0.08930631537797953</v>
      </c>
      <c r="O14" s="3">
        <f t="shared" si="0"/>
        <v>0.1193594316814993</v>
      </c>
      <c r="P14" s="3">
        <f t="shared" si="0"/>
        <v>0.17672108779267945</v>
      </c>
      <c r="Q14" s="3">
        <f t="shared" si="0"/>
        <v>0.27953450905195165</v>
      </c>
      <c r="R14" s="3">
        <f t="shared" si="0"/>
        <v>0.1760733272926201</v>
      </c>
      <c r="S14" s="3">
        <f t="shared" si="0"/>
        <v>0.005860351152682276</v>
      </c>
      <c r="T14" s="3">
        <f t="shared" si="0"/>
        <v>0.0009427252034459139</v>
      </c>
      <c r="U14" s="3">
        <f t="shared" si="0"/>
        <v>0</v>
      </c>
      <c r="V14" s="3">
        <f t="shared" si="0"/>
        <v>0</v>
      </c>
      <c r="W14" s="3">
        <f aca="true" t="shared" si="1" ref="W14:W19">SUM(M14:V14)</f>
        <v>1</v>
      </c>
    </row>
    <row r="15" spans="6:23" ht="12">
      <c r="F15" s="3">
        <v>23.7</v>
      </c>
      <c r="H15" s="23" t="s">
        <v>212</v>
      </c>
      <c r="L15" s="3" t="s">
        <v>94</v>
      </c>
      <c r="M15" s="3">
        <v>22.404337950000002</v>
      </c>
      <c r="N15" s="3">
        <v>27.5149562</v>
      </c>
      <c r="O15" s="3">
        <v>54.861383000000004</v>
      </c>
      <c r="P15" s="3">
        <v>58.03646399999999</v>
      </c>
      <c r="Q15" s="3">
        <v>54.182598000000006</v>
      </c>
      <c r="R15" s="3">
        <v>56.283939700000005</v>
      </c>
      <c r="S15" s="3">
        <v>40.112866000000004</v>
      </c>
      <c r="T15" s="3">
        <v>5.700025999999999</v>
      </c>
      <c r="U15" s="3">
        <v>0</v>
      </c>
      <c r="V15" s="3">
        <v>0</v>
      </c>
      <c r="W15" s="3">
        <f t="shared" si="1"/>
        <v>319.09657085</v>
      </c>
    </row>
    <row r="16" spans="6:23" ht="12">
      <c r="F16" s="3">
        <v>23.7</v>
      </c>
      <c r="H16" s="23" t="s">
        <v>213</v>
      </c>
      <c r="L16" s="3" t="s">
        <v>95</v>
      </c>
      <c r="M16" s="3">
        <v>15.545</v>
      </c>
      <c r="N16" s="3">
        <v>31.046667000000003</v>
      </c>
      <c r="O16" s="3">
        <v>45.633333</v>
      </c>
      <c r="P16" s="3">
        <v>53.74333399999999</v>
      </c>
      <c r="Q16" s="3">
        <v>49.4</v>
      </c>
      <c r="R16" s="3">
        <v>48.292857000000005</v>
      </c>
      <c r="S16" s="3">
        <v>42.928332999999995</v>
      </c>
      <c r="T16" s="3">
        <v>5.7</v>
      </c>
      <c r="U16" s="3">
        <v>0</v>
      </c>
      <c r="V16" s="3">
        <v>0</v>
      </c>
      <c r="W16" s="3">
        <f t="shared" si="1"/>
        <v>292.289524</v>
      </c>
    </row>
    <row r="17" spans="2:23" ht="12">
      <c r="B17" s="2" t="s">
        <v>238</v>
      </c>
      <c r="C17" s="1">
        <v>85</v>
      </c>
      <c r="D17" s="1">
        <v>0.44</v>
      </c>
      <c r="F17" s="3">
        <v>4</v>
      </c>
      <c r="H17" s="23" t="s">
        <v>214</v>
      </c>
      <c r="L17" s="3" t="s">
        <v>89</v>
      </c>
      <c r="M17" s="3">
        <f>3.1415926*0.44*10</f>
        <v>13.823007440000001</v>
      </c>
      <c r="N17" s="3">
        <f aca="true" t="shared" si="2" ref="N17:S17">3.1415926*0.44*5</f>
        <v>6.911503720000001</v>
      </c>
      <c r="O17" s="3">
        <f t="shared" si="2"/>
        <v>6.911503720000001</v>
      </c>
      <c r="P17" s="3">
        <f t="shared" si="2"/>
        <v>6.911503720000001</v>
      </c>
      <c r="Q17" s="3">
        <f t="shared" si="2"/>
        <v>6.911503720000001</v>
      </c>
      <c r="R17" s="3">
        <f t="shared" si="2"/>
        <v>6.911503720000001</v>
      </c>
      <c r="S17" s="3">
        <f t="shared" si="2"/>
        <v>6.911503720000001</v>
      </c>
      <c r="T17" s="3">
        <f>3.1415926*0.44*5.2</f>
        <v>7.187963868800001</v>
      </c>
      <c r="U17" s="3">
        <v>0</v>
      </c>
      <c r="V17" s="3">
        <v>0</v>
      </c>
      <c r="W17" s="3">
        <f t="shared" si="1"/>
        <v>62.4799936288</v>
      </c>
    </row>
    <row r="18" spans="1:23" ht="12">
      <c r="A18" s="28" t="s">
        <v>27</v>
      </c>
      <c r="B18" s="28"/>
      <c r="D18" s="8"/>
      <c r="F18" s="3">
        <v>12.5</v>
      </c>
      <c r="H18" s="23" t="s">
        <v>215</v>
      </c>
      <c r="L18" s="3" t="s">
        <v>90</v>
      </c>
      <c r="M18" s="3">
        <f aca="true" t="shared" si="3" ref="M18:W18">M17/$W$17</f>
        <v>0.22123893805309736</v>
      </c>
      <c r="N18" s="3">
        <f t="shared" si="3"/>
        <v>0.11061946902654868</v>
      </c>
      <c r="O18" s="3">
        <f t="shared" si="3"/>
        <v>0.11061946902654868</v>
      </c>
      <c r="P18" s="3">
        <f t="shared" si="3"/>
        <v>0.11061946902654868</v>
      </c>
      <c r="Q18" s="3">
        <f t="shared" si="3"/>
        <v>0.11061946902654868</v>
      </c>
      <c r="R18" s="3">
        <f t="shared" si="3"/>
        <v>0.11061946902654868</v>
      </c>
      <c r="S18" s="3">
        <f t="shared" si="3"/>
        <v>0.11061946902654868</v>
      </c>
      <c r="T18" s="3">
        <f t="shared" si="3"/>
        <v>0.11504424778761063</v>
      </c>
      <c r="U18" s="3">
        <f t="shared" si="3"/>
        <v>0</v>
      </c>
      <c r="V18" s="3">
        <f t="shared" si="3"/>
        <v>0</v>
      </c>
      <c r="W18" s="3">
        <f t="shared" si="3"/>
        <v>1</v>
      </c>
    </row>
    <row r="19" spans="1:23" ht="12">
      <c r="A19" s="28" t="s">
        <v>146</v>
      </c>
      <c r="B19" s="28"/>
      <c r="D19" s="8"/>
      <c r="F19" s="3">
        <v>21.4</v>
      </c>
      <c r="H19" s="23" t="s">
        <v>216</v>
      </c>
      <c r="L19" s="3" t="s">
        <v>91</v>
      </c>
      <c r="M19" s="3">
        <v>0</v>
      </c>
      <c r="N19" s="3">
        <v>0</v>
      </c>
      <c r="O19" s="3">
        <v>0</v>
      </c>
      <c r="P19" s="3">
        <v>0</v>
      </c>
      <c r="Q19" s="3">
        <v>0</v>
      </c>
      <c r="R19" s="3">
        <v>0</v>
      </c>
      <c r="S19" s="3">
        <v>0</v>
      </c>
      <c r="T19" s="3">
        <v>0</v>
      </c>
      <c r="U19" s="3">
        <v>0</v>
      </c>
      <c r="V19" s="3">
        <v>0</v>
      </c>
      <c r="W19" s="3">
        <f t="shared" si="1"/>
        <v>0</v>
      </c>
    </row>
    <row r="20" spans="6:23" ht="12">
      <c r="F20" s="3">
        <v>25</v>
      </c>
      <c r="H20" s="23" t="s">
        <v>217</v>
      </c>
      <c r="L20" s="3" t="s">
        <v>92</v>
      </c>
      <c r="M20" s="3">
        <v>0</v>
      </c>
      <c r="N20" s="3">
        <v>0</v>
      </c>
      <c r="O20" s="3">
        <v>0</v>
      </c>
      <c r="P20" s="3">
        <v>0</v>
      </c>
      <c r="Q20" s="3">
        <v>0</v>
      </c>
      <c r="R20" s="3">
        <v>0</v>
      </c>
      <c r="S20" s="3">
        <v>0</v>
      </c>
      <c r="T20" s="3">
        <v>0</v>
      </c>
      <c r="U20" s="3">
        <v>0</v>
      </c>
      <c r="V20" s="3">
        <v>0</v>
      </c>
      <c r="W20" s="3">
        <v>0</v>
      </c>
    </row>
    <row r="21" spans="6:23" ht="12">
      <c r="F21" s="3">
        <v>25</v>
      </c>
      <c r="H21" s="23" t="s">
        <v>218</v>
      </c>
      <c r="L21" s="3" t="s">
        <v>93</v>
      </c>
      <c r="M21" s="3">
        <f>M13+M17+M19</f>
        <v>20.865840740000003</v>
      </c>
      <c r="N21" s="3">
        <f aca="true" t="shared" si="4" ref="N21:W21">N13+N17+N19</f>
        <v>11.043962220000001</v>
      </c>
      <c r="O21" s="3">
        <f t="shared" si="4"/>
        <v>12.434605820000002</v>
      </c>
      <c r="P21" s="3">
        <f t="shared" si="4"/>
        <v>15.08889362</v>
      </c>
      <c r="Q21" s="3">
        <f t="shared" si="4"/>
        <v>19.84636452</v>
      </c>
      <c r="R21" s="3">
        <f>R13+R17+R19</f>
        <v>15.058919889999999</v>
      </c>
      <c r="S21" s="3">
        <f t="shared" si="4"/>
        <v>7.182678920000001</v>
      </c>
      <c r="T21" s="3">
        <f t="shared" si="4"/>
        <v>7.231586458800001</v>
      </c>
      <c r="U21" s="3">
        <f t="shared" si="4"/>
        <v>0</v>
      </c>
      <c r="V21" s="3">
        <f t="shared" si="4"/>
        <v>0</v>
      </c>
      <c r="W21" s="3">
        <f t="shared" si="4"/>
        <v>108.7528521888</v>
      </c>
    </row>
    <row r="22" spans="2:23" ht="12">
      <c r="B22" s="2" t="s">
        <v>325</v>
      </c>
      <c r="C22" s="1">
        <v>86</v>
      </c>
      <c r="D22" s="1">
        <v>0.43</v>
      </c>
      <c r="F22" s="3">
        <v>5</v>
      </c>
      <c r="H22" s="23" t="s">
        <v>219</v>
      </c>
      <c r="L22" s="3" t="s">
        <v>93</v>
      </c>
      <c r="M22" s="3">
        <f>M21/$W$21</f>
        <v>0.19186476786628026</v>
      </c>
      <c r="N22" s="3">
        <f aca="true" t="shared" si="5" ref="N22:W22">N21/$W$21</f>
        <v>0.10155101220542859</v>
      </c>
      <c r="O22" s="3">
        <f t="shared" si="5"/>
        <v>0.11433820419176638</v>
      </c>
      <c r="P22" s="3">
        <f t="shared" si="5"/>
        <v>0.13874480821712132</v>
      </c>
      <c r="Q22" s="3">
        <f t="shared" si="5"/>
        <v>0.18249051974789396</v>
      </c>
      <c r="R22" s="3">
        <f t="shared" si="5"/>
        <v>0.13846919493989007</v>
      </c>
      <c r="S22" s="3">
        <f t="shared" si="5"/>
        <v>0.06604589006576615</v>
      </c>
      <c r="T22" s="3">
        <f t="shared" si="5"/>
        <v>0.06649560276585326</v>
      </c>
      <c r="U22" s="3">
        <f t="shared" si="5"/>
        <v>0</v>
      </c>
      <c r="V22" s="3">
        <f t="shared" si="5"/>
        <v>0</v>
      </c>
      <c r="W22" s="3">
        <f t="shared" si="5"/>
        <v>1</v>
      </c>
    </row>
    <row r="23" spans="1:32" ht="12">
      <c r="A23" s="28" t="s">
        <v>147</v>
      </c>
      <c r="B23" s="28"/>
      <c r="D23" s="8"/>
      <c r="F23" s="3">
        <v>14.8</v>
      </c>
      <c r="H23" s="7"/>
      <c r="I23" s="7"/>
      <c r="J23" s="7"/>
      <c r="K23" s="7"/>
      <c r="L23" s="7" t="s">
        <v>46</v>
      </c>
      <c r="M23" s="7" t="s">
        <v>47</v>
      </c>
      <c r="N23" s="11">
        <v>37021</v>
      </c>
      <c r="O23" s="11">
        <v>37179</v>
      </c>
      <c r="P23" s="7" t="s">
        <v>48</v>
      </c>
      <c r="Q23" s="7" t="s">
        <v>49</v>
      </c>
      <c r="R23" s="7" t="s">
        <v>50</v>
      </c>
      <c r="S23" s="7" t="s">
        <v>51</v>
      </c>
      <c r="T23" s="7" t="s">
        <v>52</v>
      </c>
      <c r="U23" s="7" t="s">
        <v>53</v>
      </c>
      <c r="V23" s="7" t="s">
        <v>54</v>
      </c>
      <c r="W23" s="7" t="s">
        <v>55</v>
      </c>
      <c r="X23" s="7" t="s">
        <v>56</v>
      </c>
      <c r="Y23" s="7" t="s">
        <v>57</v>
      </c>
      <c r="Z23" s="7" t="s">
        <v>58</v>
      </c>
      <c r="AA23" s="7" t="s">
        <v>59</v>
      </c>
      <c r="AB23" s="7" t="s">
        <v>60</v>
      </c>
      <c r="AC23" s="7" t="s">
        <v>61</v>
      </c>
      <c r="AD23" s="7" t="s">
        <v>62</v>
      </c>
      <c r="AE23" s="7" t="s">
        <v>63</v>
      </c>
      <c r="AF23" s="7"/>
    </row>
    <row r="24" spans="1:32" ht="12">
      <c r="A24" s="28" t="s">
        <v>148</v>
      </c>
      <c r="B24" s="28"/>
      <c r="D24" s="8"/>
      <c r="F24" s="3">
        <v>22.5</v>
      </c>
      <c r="H24" s="7"/>
      <c r="I24" s="7"/>
      <c r="J24" s="7"/>
      <c r="K24" s="7"/>
      <c r="L24" s="13" t="s">
        <v>234</v>
      </c>
      <c r="M24" s="7"/>
      <c r="N24" s="12"/>
      <c r="O24" s="12"/>
      <c r="P24" s="7"/>
      <c r="Q24" s="7"/>
      <c r="R24" s="7"/>
      <c r="S24" s="7"/>
      <c r="T24" s="7"/>
      <c r="U24" s="7"/>
      <c r="V24" s="7"/>
      <c r="W24" s="7"/>
      <c r="X24" s="7"/>
      <c r="Y24" s="7"/>
      <c r="Z24" s="7"/>
      <c r="AA24" s="7"/>
      <c r="AB24" s="7"/>
      <c r="AC24" s="7"/>
      <c r="AD24" s="7"/>
      <c r="AE24" s="13" t="s">
        <v>242</v>
      </c>
      <c r="AF24" s="7"/>
    </row>
    <row r="25" spans="6:32" ht="12">
      <c r="F25" s="3">
        <v>22.5</v>
      </c>
      <c r="H25" s="13" t="s">
        <v>220</v>
      </c>
      <c r="I25" s="7"/>
      <c r="J25" s="7"/>
      <c r="K25" s="7"/>
      <c r="L25" s="7" t="s">
        <v>97</v>
      </c>
      <c r="M25" s="7">
        <v>2.2742917</v>
      </c>
      <c r="N25" s="7">
        <v>1.5106166</v>
      </c>
      <c r="O25" s="7">
        <v>1.0604334</v>
      </c>
      <c r="P25" s="7">
        <v>0.4691667</v>
      </c>
      <c r="Q25" s="7">
        <v>0</v>
      </c>
      <c r="R25" s="7">
        <v>1.1620233</v>
      </c>
      <c r="S25" s="7">
        <v>1.9855283</v>
      </c>
      <c r="T25" s="7">
        <v>1.6484299</v>
      </c>
      <c r="U25" s="7">
        <v>3.1496667</v>
      </c>
      <c r="V25" s="7">
        <v>4.1854461</v>
      </c>
      <c r="W25" s="7">
        <v>1.35131998</v>
      </c>
      <c r="X25" s="7">
        <v>3.0219318</v>
      </c>
      <c r="Y25" s="7">
        <v>1.84808334</v>
      </c>
      <c r="Z25" s="7">
        <v>4.7169169</v>
      </c>
      <c r="AA25" s="7">
        <v>5.7502631</v>
      </c>
      <c r="AB25" s="7">
        <v>8.5675725</v>
      </c>
      <c r="AC25" s="7">
        <v>2.6568863</v>
      </c>
      <c r="AD25" s="7">
        <v>0.68475</v>
      </c>
      <c r="AE25" s="7">
        <f>SUM(M25:AD25)</f>
        <v>46.043326619999995</v>
      </c>
      <c r="AF25" s="7"/>
    </row>
    <row r="26" spans="2:32" ht="12">
      <c r="B26" s="2" t="s">
        <v>301</v>
      </c>
      <c r="C26" s="1">
        <v>85</v>
      </c>
      <c r="D26" s="1">
        <v>0.45</v>
      </c>
      <c r="F26" s="3">
        <v>5.2</v>
      </c>
      <c r="H26" s="13" t="s">
        <v>221</v>
      </c>
      <c r="I26" s="7"/>
      <c r="J26" s="7"/>
      <c r="K26" s="7"/>
      <c r="L26" s="7" t="s">
        <v>64</v>
      </c>
      <c r="M26" s="7">
        <v>0</v>
      </c>
      <c r="N26" s="7">
        <v>0</v>
      </c>
      <c r="O26" s="7">
        <v>0</v>
      </c>
      <c r="P26" s="7">
        <v>0</v>
      </c>
      <c r="Q26" s="7">
        <v>0</v>
      </c>
      <c r="R26" s="7">
        <v>0</v>
      </c>
      <c r="S26" s="7">
        <v>0</v>
      </c>
      <c r="T26" s="7">
        <v>0</v>
      </c>
      <c r="U26" s="7">
        <v>0</v>
      </c>
      <c r="V26" s="7">
        <v>0</v>
      </c>
      <c r="W26" s="7">
        <v>0</v>
      </c>
      <c r="X26" s="7">
        <v>0</v>
      </c>
      <c r="Y26" s="7">
        <v>0</v>
      </c>
      <c r="Z26" s="7">
        <v>0</v>
      </c>
      <c r="AA26" s="7">
        <v>0</v>
      </c>
      <c r="AB26" s="7">
        <v>0</v>
      </c>
      <c r="AC26" s="3">
        <v>0</v>
      </c>
      <c r="AD26" s="7">
        <f>3.1415*0.44*38</f>
        <v>52.52588</v>
      </c>
      <c r="AE26" s="7">
        <f>SUM(M14:AD14)</f>
        <v>2</v>
      </c>
      <c r="AF26" s="7"/>
    </row>
    <row r="27" spans="1:32" ht="12">
      <c r="A27" s="28" t="s">
        <v>28</v>
      </c>
      <c r="B27" s="28"/>
      <c r="D27" s="8"/>
      <c r="F27" s="3">
        <v>12.5</v>
      </c>
      <c r="H27" s="13" t="s">
        <v>222</v>
      </c>
      <c r="I27" s="7"/>
      <c r="J27" s="7"/>
      <c r="K27" s="7"/>
      <c r="L27" s="7" t="s">
        <v>65</v>
      </c>
      <c r="M27" s="7">
        <f>M25+M26</f>
        <v>2.2742917</v>
      </c>
      <c r="N27" s="7">
        <v>15.7776</v>
      </c>
      <c r="O27" s="7">
        <v>15.9637</v>
      </c>
      <c r="P27" s="7">
        <v>9.7297</v>
      </c>
      <c r="Q27" s="7">
        <v>13.0172</v>
      </c>
      <c r="R27" s="7">
        <v>15.175</v>
      </c>
      <c r="S27" s="7">
        <v>9.0759</v>
      </c>
      <c r="T27" s="7">
        <v>11.6235</v>
      </c>
      <c r="U27" s="7">
        <v>7.523</v>
      </c>
      <c r="V27" s="7">
        <v>14.344</v>
      </c>
      <c r="W27" s="7">
        <v>9.358</v>
      </c>
      <c r="X27" s="7">
        <v>15.0713</v>
      </c>
      <c r="Y27" s="7">
        <v>8.5356</v>
      </c>
      <c r="Z27" s="7">
        <v>9.2383</v>
      </c>
      <c r="AA27" s="7">
        <v>10.0258</v>
      </c>
      <c r="AB27" s="7">
        <v>5.6752</v>
      </c>
      <c r="AC27" s="7">
        <f>AC25+AC26</f>
        <v>2.6568863</v>
      </c>
      <c r="AD27" s="7">
        <f>AD26+AD25</f>
        <v>53.21063</v>
      </c>
      <c r="AE27" s="7">
        <f>SUM(M27:AD27)</f>
        <v>228.275608</v>
      </c>
      <c r="AF27" s="7"/>
    </row>
    <row r="28" spans="1:32" ht="12">
      <c r="A28" s="28" t="s">
        <v>29</v>
      </c>
      <c r="B28" s="28"/>
      <c r="D28" s="8"/>
      <c r="F28" s="3">
        <v>21</v>
      </c>
      <c r="H28" s="13" t="s">
        <v>223</v>
      </c>
      <c r="I28" s="7"/>
      <c r="J28" s="7"/>
      <c r="K28" s="7"/>
      <c r="L28" s="7" t="s">
        <v>66</v>
      </c>
      <c r="M28" s="7">
        <v>0</v>
      </c>
      <c r="N28" s="7">
        <v>0</v>
      </c>
      <c r="O28" s="7">
        <v>0</v>
      </c>
      <c r="P28" s="7">
        <v>0</v>
      </c>
      <c r="Q28" s="7">
        <v>0</v>
      </c>
      <c r="R28" s="7">
        <v>0</v>
      </c>
      <c r="S28" s="7">
        <v>0</v>
      </c>
      <c r="T28" s="7">
        <v>0</v>
      </c>
      <c r="U28" s="7">
        <v>0</v>
      </c>
      <c r="V28" s="7">
        <v>0</v>
      </c>
      <c r="W28" s="7">
        <v>0</v>
      </c>
      <c r="X28" s="7">
        <v>0</v>
      </c>
      <c r="Y28" s="7">
        <v>0</v>
      </c>
      <c r="Z28" s="7">
        <v>0</v>
      </c>
      <c r="AA28" s="7">
        <v>0</v>
      </c>
      <c r="AB28" s="7">
        <v>0</v>
      </c>
      <c r="AC28" s="3">
        <v>0</v>
      </c>
      <c r="AD28" s="7">
        <v>0</v>
      </c>
      <c r="AE28" s="7">
        <v>0</v>
      </c>
      <c r="AF28" s="7"/>
    </row>
    <row r="29" spans="6:32" ht="12">
      <c r="F29" s="3">
        <v>21</v>
      </c>
      <c r="H29" s="13" t="s">
        <v>224</v>
      </c>
      <c r="I29" s="7"/>
      <c r="J29" s="7"/>
      <c r="K29" s="7"/>
      <c r="L29" s="7" t="s">
        <v>67</v>
      </c>
      <c r="M29" s="7">
        <f aca="true" t="shared" si="6" ref="M29:AB29">M27+M28</f>
        <v>2.2742917</v>
      </c>
      <c r="N29" s="7">
        <f t="shared" si="6"/>
        <v>15.7776</v>
      </c>
      <c r="O29" s="7">
        <f t="shared" si="6"/>
        <v>15.9637</v>
      </c>
      <c r="P29" s="7">
        <f t="shared" si="6"/>
        <v>9.7297</v>
      </c>
      <c r="Q29" s="7">
        <f t="shared" si="6"/>
        <v>13.0172</v>
      </c>
      <c r="R29" s="7">
        <f t="shared" si="6"/>
        <v>15.175</v>
      </c>
      <c r="S29" s="7">
        <f t="shared" si="6"/>
        <v>9.0759</v>
      </c>
      <c r="T29" s="7">
        <f t="shared" si="6"/>
        <v>11.6235</v>
      </c>
      <c r="U29" s="7">
        <f t="shared" si="6"/>
        <v>7.523</v>
      </c>
      <c r="V29" s="7">
        <f t="shared" si="6"/>
        <v>14.344</v>
      </c>
      <c r="W29" s="7">
        <f t="shared" si="6"/>
        <v>9.358</v>
      </c>
      <c r="X29" s="7">
        <f t="shared" si="6"/>
        <v>15.0713</v>
      </c>
      <c r="Y29" s="7">
        <f t="shared" si="6"/>
        <v>8.5356</v>
      </c>
      <c r="Z29" s="7">
        <f t="shared" si="6"/>
        <v>9.2383</v>
      </c>
      <c r="AA29" s="7">
        <f t="shared" si="6"/>
        <v>10.0258</v>
      </c>
      <c r="AB29" s="7">
        <f t="shared" si="6"/>
        <v>5.6752</v>
      </c>
      <c r="AC29" s="7">
        <f>AC27+AD28</f>
        <v>2.6568863</v>
      </c>
      <c r="AD29" s="7">
        <f>AD27+AD28</f>
        <v>53.21063</v>
      </c>
      <c r="AE29" s="7">
        <f>AE27+AE28</f>
        <v>228.275608</v>
      </c>
      <c r="AF29" s="7"/>
    </row>
    <row r="30" spans="2:32" ht="12">
      <c r="B30" s="2" t="s">
        <v>239</v>
      </c>
      <c r="C30" s="1">
        <v>86</v>
      </c>
      <c r="D30" s="1">
        <v>0.43</v>
      </c>
      <c r="F30" s="3">
        <v>2.6</v>
      </c>
      <c r="H30" s="13" t="s">
        <v>225</v>
      </c>
      <c r="I30" s="7"/>
      <c r="J30" s="7"/>
      <c r="K30" s="7"/>
      <c r="L30" s="7" t="s">
        <v>68</v>
      </c>
      <c r="M30" s="7">
        <f>M25/AE25</f>
        <v>0.04939459997688586</v>
      </c>
      <c r="N30" s="7">
        <f>N25/AE25</f>
        <v>0.032808589450264186</v>
      </c>
      <c r="O30" s="7">
        <f>O25/AE25</f>
        <v>0.023031207296376713</v>
      </c>
      <c r="P30" s="7">
        <f>P25/AE25</f>
        <v>0.01018967860146331</v>
      </c>
      <c r="Q30" s="7">
        <f>Q25/AE25</f>
        <v>0</v>
      </c>
      <c r="R30" s="7">
        <f>R25/AE25</f>
        <v>0.025237605214546942</v>
      </c>
      <c r="S30" s="7">
        <f>S25/AE25</f>
        <v>0.04312304183376575</v>
      </c>
      <c r="T30" s="7">
        <f>T25/AE25</f>
        <v>0.035801711583627535</v>
      </c>
      <c r="U30" s="7">
        <f>U25/AE25</f>
        <v>0.06840658421565632</v>
      </c>
      <c r="V30" s="7">
        <f>V25/AE25</f>
        <v>0.09090233932363075</v>
      </c>
      <c r="W30" s="7">
        <f>W25/AE25</f>
        <v>0.029348878093726237</v>
      </c>
      <c r="X30" s="7">
        <f>X25/AE25</f>
        <v>0.06563235156617361</v>
      </c>
      <c r="Y30" s="7">
        <f>Y25/AE25</f>
        <v>0.04013791955677768</v>
      </c>
      <c r="Z30" s="7">
        <f>Z25/AE25</f>
        <v>0.10244518036086248</v>
      </c>
      <c r="AA30" s="7">
        <f>AA25/AE25</f>
        <v>0.12488808959129896</v>
      </c>
      <c r="AB30" s="7">
        <f>AB25/AE25</f>
        <v>0.18607631396204277</v>
      </c>
      <c r="AC30" s="7">
        <f>AC25/AE25</f>
        <v>0.057704047362336315</v>
      </c>
      <c r="AD30" s="7">
        <f>AD25/AE25</f>
        <v>0.014871862010564693</v>
      </c>
      <c r="AE30" s="7">
        <f>AE25/AE25</f>
        <v>1</v>
      </c>
      <c r="AF30" s="7"/>
    </row>
    <row r="31" spans="1:32" ht="12">
      <c r="A31" s="28" t="s">
        <v>27</v>
      </c>
      <c r="B31" s="28"/>
      <c r="D31" s="8"/>
      <c r="F31" s="3">
        <v>7.3</v>
      </c>
      <c r="H31" s="13" t="s">
        <v>226</v>
      </c>
      <c r="I31" s="7"/>
      <c r="J31" s="7"/>
      <c r="K31" s="7"/>
      <c r="L31" s="7" t="s">
        <v>69</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1</v>
      </c>
      <c r="AE31" s="7"/>
      <c r="AF31" s="7"/>
    </row>
    <row r="32" spans="1:32" ht="12">
      <c r="A32" s="28" t="s">
        <v>30</v>
      </c>
      <c r="B32" s="28"/>
      <c r="D32" s="8"/>
      <c r="F32" s="3">
        <v>14.8</v>
      </c>
      <c r="H32" s="13" t="s">
        <v>227</v>
      </c>
      <c r="I32" s="7"/>
      <c r="J32" s="7"/>
      <c r="K32" s="7"/>
      <c r="L32" s="7" t="s">
        <v>70</v>
      </c>
      <c r="M32" s="3">
        <f aca="true" t="shared" si="7" ref="M32:AE32">M27/$AE$27</f>
        <v>0.009962920348458781</v>
      </c>
      <c r="N32" s="3">
        <f t="shared" si="7"/>
        <v>0.06911645154834063</v>
      </c>
      <c r="O32" s="3">
        <f t="shared" si="7"/>
        <v>0.06993169414754115</v>
      </c>
      <c r="P32" s="3">
        <f t="shared" si="7"/>
        <v>0.04262260030865846</v>
      </c>
      <c r="Q32" s="3">
        <f t="shared" si="7"/>
        <v>0.05702405138266021</v>
      </c>
      <c r="R32" s="3">
        <f t="shared" si="7"/>
        <v>0.06647666009063921</v>
      </c>
      <c r="S32" s="3">
        <f t="shared" si="7"/>
        <v>0.03975851857111252</v>
      </c>
      <c r="T32" s="3">
        <f t="shared" si="7"/>
        <v>0.05091871226118912</v>
      </c>
      <c r="U32" s="3">
        <f t="shared" si="7"/>
        <v>0.03295577686074983</v>
      </c>
      <c r="V32" s="3">
        <f t="shared" si="7"/>
        <v>0.06283632371269382</v>
      </c>
      <c r="W32" s="3">
        <f t="shared" si="7"/>
        <v>0.04099430544502153</v>
      </c>
      <c r="X32" s="3">
        <f t="shared" si="7"/>
        <v>0.06602238466056347</v>
      </c>
      <c r="Y32" s="3">
        <f t="shared" si="7"/>
        <v>0.037391642825018785</v>
      </c>
      <c r="Z32" s="3">
        <f t="shared" si="7"/>
        <v>0.04046993930249438</v>
      </c>
      <c r="AA32" s="3">
        <f t="shared" si="7"/>
        <v>0.043919716555962475</v>
      </c>
      <c r="AB32" s="3">
        <f t="shared" si="7"/>
        <v>0.02486117570651701</v>
      </c>
      <c r="AC32" s="3">
        <f t="shared" si="7"/>
        <v>0.011638940854337797</v>
      </c>
      <c r="AD32" s="3">
        <f t="shared" si="7"/>
        <v>0.2330981854180408</v>
      </c>
      <c r="AE32" s="3">
        <f t="shared" si="7"/>
        <v>1</v>
      </c>
      <c r="AF32" s="7"/>
    </row>
    <row r="33" spans="6:32" ht="12">
      <c r="F33" s="3">
        <v>17.5</v>
      </c>
      <c r="H33" s="13" t="s">
        <v>228</v>
      </c>
      <c r="I33" s="7"/>
      <c r="J33" s="7"/>
      <c r="K33" s="7"/>
      <c r="L33" s="7" t="s">
        <v>71</v>
      </c>
      <c r="M33" s="7">
        <f>M30</f>
        <v>0.04939459997688586</v>
      </c>
      <c r="N33" s="7">
        <f>M30+N30</f>
        <v>0.08220318942715005</v>
      </c>
      <c r="O33" s="7">
        <f aca="true" t="shared" si="8" ref="O33:AD33">N33+O30</f>
        <v>0.10523439672352676</v>
      </c>
      <c r="P33" s="7">
        <f t="shared" si="8"/>
        <v>0.11542407532499008</v>
      </c>
      <c r="Q33" s="7">
        <f t="shared" si="8"/>
        <v>0.11542407532499008</v>
      </c>
      <c r="R33" s="7">
        <f t="shared" si="8"/>
        <v>0.140661680539537</v>
      </c>
      <c r="S33" s="7">
        <f t="shared" si="8"/>
        <v>0.18378472237330276</v>
      </c>
      <c r="T33" s="7">
        <f t="shared" si="8"/>
        <v>0.21958643395693028</v>
      </c>
      <c r="U33" s="7">
        <f t="shared" si="8"/>
        <v>0.2879930181725866</v>
      </c>
      <c r="V33" s="7">
        <f t="shared" si="8"/>
        <v>0.37889535749621733</v>
      </c>
      <c r="W33" s="7">
        <f t="shared" si="8"/>
        <v>0.40824423558994355</v>
      </c>
      <c r="X33" s="7">
        <f t="shared" si="8"/>
        <v>0.47387658715611714</v>
      </c>
      <c r="Y33" s="7">
        <f t="shared" si="8"/>
        <v>0.5140145067128948</v>
      </c>
      <c r="Z33" s="7">
        <f t="shared" si="8"/>
        <v>0.6164596870737573</v>
      </c>
      <c r="AA33" s="7">
        <f t="shared" si="8"/>
        <v>0.7413477766650562</v>
      </c>
      <c r="AB33" s="7">
        <f t="shared" si="8"/>
        <v>0.927424090627099</v>
      </c>
      <c r="AC33" s="7">
        <f t="shared" si="8"/>
        <v>0.9851281379894353</v>
      </c>
      <c r="AD33" s="7">
        <f t="shared" si="8"/>
        <v>1</v>
      </c>
      <c r="AE33" s="7"/>
      <c r="AF33" s="7"/>
    </row>
    <row r="34" spans="6:32" ht="12">
      <c r="F34" s="3">
        <v>17.5</v>
      </c>
      <c r="H34" s="13" t="s">
        <v>230</v>
      </c>
      <c r="I34" s="7"/>
      <c r="J34" s="7"/>
      <c r="K34" s="7"/>
      <c r="L34" s="7" t="s">
        <v>72</v>
      </c>
      <c r="M34" s="7">
        <f aca="true" t="shared" si="9" ref="M34:AC34">M33+M31</f>
        <v>0.04939459997688586</v>
      </c>
      <c r="N34" s="13">
        <f t="shared" si="9"/>
        <v>0.08220318942715005</v>
      </c>
      <c r="O34" s="13">
        <f t="shared" si="9"/>
        <v>0.10523439672352676</v>
      </c>
      <c r="P34" s="13">
        <f t="shared" si="9"/>
        <v>0.11542407532499008</v>
      </c>
      <c r="Q34" s="13">
        <f t="shared" si="9"/>
        <v>0.11542407532499008</v>
      </c>
      <c r="R34" s="13">
        <f t="shared" si="9"/>
        <v>0.140661680539537</v>
      </c>
      <c r="S34" s="13">
        <f t="shared" si="9"/>
        <v>0.18378472237330276</v>
      </c>
      <c r="T34" s="13">
        <f t="shared" si="9"/>
        <v>0.21958643395693028</v>
      </c>
      <c r="U34" s="13">
        <f t="shared" si="9"/>
        <v>0.2879930181725866</v>
      </c>
      <c r="V34" s="13">
        <f t="shared" si="9"/>
        <v>0.37889535749621733</v>
      </c>
      <c r="W34" s="13">
        <f t="shared" si="9"/>
        <v>0.40824423558994355</v>
      </c>
      <c r="X34" s="13">
        <f t="shared" si="9"/>
        <v>0.47387658715611714</v>
      </c>
      <c r="Y34" s="13">
        <f t="shared" si="9"/>
        <v>0.5140145067128948</v>
      </c>
      <c r="Z34" s="13">
        <f t="shared" si="9"/>
        <v>0.6164596870737573</v>
      </c>
      <c r="AA34" s="13">
        <f t="shared" si="9"/>
        <v>0.7413477766650562</v>
      </c>
      <c r="AB34" s="13">
        <f t="shared" si="9"/>
        <v>0.927424090627099</v>
      </c>
      <c r="AC34" s="13">
        <f t="shared" si="9"/>
        <v>0.9851281379894353</v>
      </c>
      <c r="AD34" s="13"/>
      <c r="AE34" s="13"/>
      <c r="AF34" s="13"/>
    </row>
    <row r="35" spans="2:32" ht="12">
      <c r="B35" s="2" t="s">
        <v>326</v>
      </c>
      <c r="C35" s="1">
        <v>87</v>
      </c>
      <c r="D35" s="1">
        <v>0.44</v>
      </c>
      <c r="F35" s="3">
        <v>4.7</v>
      </c>
      <c r="H35" s="7" t="s">
        <v>229</v>
      </c>
      <c r="I35" s="7"/>
      <c r="J35" s="7"/>
      <c r="K35" s="7"/>
      <c r="L35" s="7" t="s">
        <v>73</v>
      </c>
      <c r="M35" s="7">
        <f>M32</f>
        <v>0.009962920348458781</v>
      </c>
      <c r="N35" s="7">
        <f aca="true" t="shared" si="10" ref="N35:AD35">M35+N32</f>
        <v>0.07907937189679941</v>
      </c>
      <c r="O35" s="7">
        <f t="shared" si="10"/>
        <v>0.14901106604434056</v>
      </c>
      <c r="P35" s="7">
        <f t="shared" si="10"/>
        <v>0.19163366635299903</v>
      </c>
      <c r="Q35" s="7">
        <f t="shared" si="10"/>
        <v>0.24865771773565923</v>
      </c>
      <c r="R35" s="7">
        <f t="shared" si="10"/>
        <v>0.31513437782629844</v>
      </c>
      <c r="S35" s="7">
        <f t="shared" si="10"/>
        <v>0.35489289639741095</v>
      </c>
      <c r="T35" s="7">
        <f t="shared" si="10"/>
        <v>0.40581160865860005</v>
      </c>
      <c r="U35" s="7">
        <f t="shared" si="10"/>
        <v>0.4387673855193499</v>
      </c>
      <c r="V35" s="7">
        <f t="shared" si="10"/>
        <v>0.5016037092320438</v>
      </c>
      <c r="W35" s="7">
        <f t="shared" si="10"/>
        <v>0.5425980146770653</v>
      </c>
      <c r="X35" s="7">
        <f t="shared" si="10"/>
        <v>0.6086203993376287</v>
      </c>
      <c r="Y35" s="7">
        <f t="shared" si="10"/>
        <v>0.6460120421626475</v>
      </c>
      <c r="Z35" s="7">
        <f t="shared" si="10"/>
        <v>0.6864819814651419</v>
      </c>
      <c r="AA35" s="7">
        <f t="shared" si="10"/>
        <v>0.7304016980211044</v>
      </c>
      <c r="AB35" s="7">
        <f t="shared" si="10"/>
        <v>0.7552628737276215</v>
      </c>
      <c r="AC35" s="7">
        <f t="shared" si="10"/>
        <v>0.7669018145819593</v>
      </c>
      <c r="AD35" s="7">
        <f t="shared" si="10"/>
        <v>1</v>
      </c>
      <c r="AE35" s="7"/>
      <c r="AF35" s="7"/>
    </row>
    <row r="36" spans="1:25" ht="12">
      <c r="A36" s="28" t="s">
        <v>31</v>
      </c>
      <c r="B36" s="28"/>
      <c r="D36" s="8"/>
      <c r="F36" s="3">
        <v>13.4</v>
      </c>
      <c r="H36" s="7"/>
      <c r="I36" s="7"/>
      <c r="J36" s="7"/>
      <c r="K36" s="7"/>
      <c r="L36" s="7"/>
      <c r="M36" s="7"/>
      <c r="N36" s="7"/>
      <c r="O36" s="7"/>
      <c r="P36" s="7"/>
      <c r="Q36" s="7"/>
      <c r="R36" s="7"/>
      <c r="S36" s="7"/>
      <c r="T36" s="7"/>
      <c r="U36" s="7"/>
      <c r="V36" s="7"/>
      <c r="W36" s="7"/>
      <c r="X36" s="7"/>
      <c r="Y36" s="7"/>
    </row>
    <row r="37" spans="1:25" ht="12">
      <c r="A37" s="28" t="s">
        <v>32</v>
      </c>
      <c r="B37" s="28"/>
      <c r="D37" s="8"/>
      <c r="F37" s="3">
        <v>24.4</v>
      </c>
      <c r="H37" s="4" t="s">
        <v>231</v>
      </c>
      <c r="J37" s="1"/>
      <c r="K37" s="1"/>
      <c r="L37" s="1"/>
      <c r="M37" s="1"/>
      <c r="N37" s="1"/>
      <c r="O37" s="1"/>
      <c r="P37" s="1"/>
      <c r="Q37" s="1"/>
      <c r="R37" s="1"/>
      <c r="S37" s="1"/>
      <c r="T37" s="1"/>
      <c r="U37" s="1"/>
      <c r="V37" s="1"/>
      <c r="W37" s="1"/>
      <c r="X37" s="1"/>
      <c r="Y37" s="1"/>
    </row>
    <row r="38" spans="6:9" ht="12">
      <c r="F38" s="3">
        <v>26.8</v>
      </c>
      <c r="H38" s="1"/>
      <c r="I38" s="17"/>
    </row>
    <row r="39" ht="11.25">
      <c r="F39" s="3">
        <v>26.8</v>
      </c>
    </row>
    <row r="40" spans="2:6" ht="12">
      <c r="B40" s="2" t="s">
        <v>327</v>
      </c>
      <c r="C40" s="1">
        <v>85</v>
      </c>
      <c r="D40" s="1">
        <v>0.43</v>
      </c>
      <c r="F40" s="3">
        <v>3.1</v>
      </c>
    </row>
    <row r="41" spans="1:6" ht="12">
      <c r="A41" s="28" t="s">
        <v>33</v>
      </c>
      <c r="B41" s="28"/>
      <c r="D41" s="8"/>
      <c r="F41" s="3">
        <v>7.7</v>
      </c>
    </row>
    <row r="42" spans="1:6" ht="12">
      <c r="A42" s="28" t="s">
        <v>34</v>
      </c>
      <c r="B42" s="28"/>
      <c r="D42" s="8"/>
      <c r="F42" s="3">
        <v>16.5</v>
      </c>
    </row>
    <row r="43" ht="11.25">
      <c r="F43" s="3">
        <v>22.4</v>
      </c>
    </row>
    <row r="44" ht="11.25">
      <c r="F44" s="3">
        <v>22.4</v>
      </c>
    </row>
    <row r="45" spans="2:6" ht="12">
      <c r="B45" s="2" t="s">
        <v>301</v>
      </c>
      <c r="C45" s="1">
        <v>86</v>
      </c>
      <c r="D45" s="1">
        <v>0.44</v>
      </c>
      <c r="F45" s="3">
        <v>3.8</v>
      </c>
    </row>
    <row r="46" spans="1:6" ht="12">
      <c r="A46" s="28" t="s">
        <v>35</v>
      </c>
      <c r="B46" s="28"/>
      <c r="D46" s="8"/>
      <c r="F46" s="3">
        <v>11.3</v>
      </c>
    </row>
    <row r="47" spans="1:6" ht="12">
      <c r="A47" s="28" t="s">
        <v>36</v>
      </c>
      <c r="B47" s="28"/>
      <c r="D47" s="8"/>
      <c r="F47" s="3">
        <v>20.2</v>
      </c>
    </row>
    <row r="48" ht="11.25">
      <c r="F48" s="3">
        <v>20.2</v>
      </c>
    </row>
    <row r="51" ht="12">
      <c r="A51" s="18"/>
    </row>
    <row r="93" ht="12">
      <c r="A93" s="18"/>
    </row>
    <row r="135" ht="12">
      <c r="A135" s="18"/>
    </row>
    <row r="145" ht="12">
      <c r="A145" s="18"/>
    </row>
    <row r="186" ht="12">
      <c r="A186" s="18"/>
    </row>
  </sheetData>
  <mergeCells count="20">
    <mergeCell ref="A47:B47"/>
    <mergeCell ref="A28:B28"/>
    <mergeCell ref="A32:B32"/>
    <mergeCell ref="A37:B37"/>
    <mergeCell ref="A42:B42"/>
    <mergeCell ref="A46:B46"/>
    <mergeCell ref="A14:B14"/>
    <mergeCell ref="A19:B19"/>
    <mergeCell ref="A24:B24"/>
    <mergeCell ref="A18:B18"/>
    <mergeCell ref="A23:B23"/>
    <mergeCell ref="A4:B4"/>
    <mergeCell ref="A9:B9"/>
    <mergeCell ref="A5:B5"/>
    <mergeCell ref="A13:B13"/>
    <mergeCell ref="A10:B10"/>
    <mergeCell ref="A27:B27"/>
    <mergeCell ref="A31:B31"/>
    <mergeCell ref="A36:B36"/>
    <mergeCell ref="A41:B4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K165"/>
  <sheetViews>
    <sheetView workbookViewId="0" topLeftCell="A37">
      <selection activeCell="B53" sqref="B53"/>
    </sheetView>
  </sheetViews>
  <sheetFormatPr defaultColWidth="9.00390625" defaultRowHeight="14.25"/>
  <cols>
    <col min="1" max="1" width="9.375" style="1" customWidth="1"/>
    <col min="2" max="2" width="6.375" style="1" customWidth="1"/>
    <col min="3" max="3" width="6.25390625" style="1" customWidth="1"/>
    <col min="4" max="5" width="6.375" style="1" customWidth="1"/>
    <col min="6" max="7" width="4.75390625" style="3" customWidth="1"/>
    <col min="8" max="8" width="4.875" style="3" customWidth="1"/>
    <col min="9" max="9" width="7.75390625" style="3" customWidth="1"/>
    <col min="10" max="10" width="4.875" style="3" customWidth="1"/>
    <col min="11" max="11" width="19.00390625" style="3" customWidth="1"/>
    <col min="12" max="33" width="4.875" style="3" customWidth="1"/>
    <col min="34" max="16384" width="6.375" style="3" customWidth="1"/>
  </cols>
  <sheetData>
    <row r="1" spans="1:5" ht="24">
      <c r="A1" s="18" t="s">
        <v>195</v>
      </c>
      <c r="B1" s="22" t="s">
        <v>196</v>
      </c>
      <c r="C1" s="19" t="s">
        <v>197</v>
      </c>
      <c r="D1" s="19" t="s">
        <v>199</v>
      </c>
      <c r="E1" s="2" t="s">
        <v>274</v>
      </c>
    </row>
    <row r="2" spans="6:63" ht="11.25">
      <c r="F2" s="7"/>
      <c r="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row>
    <row r="3" spans="1:32" ht="12">
      <c r="A3" s="8" t="s">
        <v>19</v>
      </c>
      <c r="B3" s="8" t="s">
        <v>328</v>
      </c>
      <c r="C3" s="1">
        <v>85</v>
      </c>
      <c r="D3" s="1">
        <v>0.48</v>
      </c>
      <c r="E3" s="1">
        <v>1</v>
      </c>
      <c r="H3" s="1"/>
      <c r="I3" s="1"/>
      <c r="J3" s="1"/>
      <c r="K3" s="1"/>
      <c r="L3" s="1"/>
      <c r="M3" s="1"/>
      <c r="N3" s="1"/>
      <c r="O3" s="1"/>
      <c r="P3" s="1"/>
      <c r="Q3" s="1"/>
      <c r="R3" s="1"/>
      <c r="S3" s="1"/>
      <c r="T3" s="1"/>
      <c r="U3" s="1"/>
      <c r="V3" s="1"/>
      <c r="W3" s="1"/>
      <c r="X3" s="1"/>
      <c r="Y3" s="1"/>
      <c r="Z3" s="1"/>
      <c r="AA3" s="1"/>
      <c r="AB3" s="1"/>
      <c r="AC3" s="1"/>
      <c r="AD3" s="1"/>
      <c r="AE3" s="1"/>
      <c r="AF3" s="1"/>
    </row>
    <row r="4" spans="1:32" ht="12">
      <c r="A4" s="8" t="s">
        <v>20</v>
      </c>
      <c r="B4" s="9"/>
      <c r="D4" s="9"/>
      <c r="E4" s="1">
        <v>2</v>
      </c>
      <c r="H4" s="7"/>
      <c r="I4" s="7"/>
      <c r="J4" s="7"/>
      <c r="K4" s="7"/>
      <c r="L4" s="7"/>
      <c r="M4" s="7"/>
      <c r="N4" s="7"/>
      <c r="O4" s="7"/>
      <c r="P4" s="7"/>
      <c r="Q4" s="7"/>
      <c r="R4" s="7"/>
      <c r="S4" s="7"/>
      <c r="T4" s="7"/>
      <c r="U4" s="7"/>
      <c r="V4" s="7"/>
      <c r="W4" s="7"/>
      <c r="X4" s="7"/>
      <c r="Y4" s="7"/>
      <c r="Z4" s="7"/>
      <c r="AA4" s="7"/>
      <c r="AB4" s="7"/>
      <c r="AC4" s="7"/>
      <c r="AD4" s="7"/>
      <c r="AE4" s="7"/>
      <c r="AF4" s="7"/>
    </row>
    <row r="5" spans="4:32" ht="11.25">
      <c r="D5" s="9"/>
      <c r="E5" s="1">
        <v>3</v>
      </c>
      <c r="H5" s="7"/>
      <c r="I5" s="7"/>
      <c r="J5" s="7"/>
      <c r="K5" s="7"/>
      <c r="L5" s="7"/>
      <c r="M5" s="7"/>
      <c r="N5" s="7"/>
      <c r="O5" s="7"/>
      <c r="P5" s="7"/>
      <c r="Q5" s="7"/>
      <c r="R5" s="7"/>
      <c r="S5" s="7"/>
      <c r="T5" s="7"/>
      <c r="U5" s="7"/>
      <c r="V5" s="7"/>
      <c r="W5" s="7"/>
      <c r="X5" s="7"/>
      <c r="Y5" s="7"/>
      <c r="Z5" s="7"/>
      <c r="AA5" s="7"/>
      <c r="AB5" s="7"/>
      <c r="AC5" s="7"/>
      <c r="AD5" s="7"/>
      <c r="AE5" s="7"/>
      <c r="AF5" s="7"/>
    </row>
    <row r="6" spans="2:32" ht="12">
      <c r="B6" s="2" t="s">
        <v>276</v>
      </c>
      <c r="H6" s="7"/>
      <c r="I6" s="7" t="s">
        <v>74</v>
      </c>
      <c r="J6" s="7">
        <v>9210</v>
      </c>
      <c r="K6" s="7"/>
      <c r="L6" s="7"/>
      <c r="M6" s="7"/>
      <c r="N6" s="7"/>
      <c r="O6" s="7"/>
      <c r="P6" s="7"/>
      <c r="Q6" s="7"/>
      <c r="R6" s="7"/>
      <c r="S6" s="7"/>
      <c r="T6" s="7"/>
      <c r="U6" s="7"/>
      <c r="V6" s="7"/>
      <c r="W6" s="7"/>
      <c r="X6" s="7"/>
      <c r="Y6" s="7"/>
      <c r="Z6" s="7"/>
      <c r="AA6" s="7"/>
      <c r="AB6" s="7"/>
      <c r="AC6" s="7"/>
      <c r="AD6" s="7"/>
      <c r="AE6" s="7"/>
      <c r="AF6" s="7"/>
    </row>
    <row r="7" spans="1:32" ht="12">
      <c r="A7" s="8" t="s">
        <v>19</v>
      </c>
      <c r="B7" s="8"/>
      <c r="C7" s="1">
        <v>83</v>
      </c>
      <c r="D7" s="1">
        <v>0.49</v>
      </c>
      <c r="E7" s="1">
        <v>1</v>
      </c>
      <c r="H7" s="7"/>
      <c r="I7" s="7"/>
      <c r="J7" s="7"/>
      <c r="K7" s="7"/>
      <c r="L7" s="7"/>
      <c r="M7" s="7"/>
      <c r="N7" s="7"/>
      <c r="O7" s="7"/>
      <c r="P7" s="7"/>
      <c r="Q7" s="7"/>
      <c r="R7" s="7"/>
      <c r="S7" s="7"/>
      <c r="T7" s="7"/>
      <c r="U7" s="7"/>
      <c r="V7" s="7"/>
      <c r="W7" s="7"/>
      <c r="X7" s="7"/>
      <c r="Y7" s="7"/>
      <c r="Z7" s="7"/>
      <c r="AA7" s="7"/>
      <c r="AB7" s="7"/>
      <c r="AC7" s="7"/>
      <c r="AD7" s="7"/>
      <c r="AE7" s="7"/>
      <c r="AF7" s="7"/>
    </row>
    <row r="8" spans="1:32" ht="12">
      <c r="A8" s="8" t="s">
        <v>20</v>
      </c>
      <c r="B8" s="8"/>
      <c r="D8" s="8"/>
      <c r="E8" s="1">
        <v>2</v>
      </c>
      <c r="H8" s="7"/>
      <c r="I8" s="7" t="s">
        <v>42</v>
      </c>
      <c r="J8" s="7" t="s">
        <v>43</v>
      </c>
      <c r="K8" s="7" t="s">
        <v>44</v>
      </c>
      <c r="L8" s="7" t="s">
        <v>45</v>
      </c>
      <c r="M8" s="7"/>
      <c r="N8" s="7"/>
      <c r="O8" s="7"/>
      <c r="P8" s="7"/>
      <c r="Q8" s="7"/>
      <c r="R8" s="7"/>
      <c r="S8" s="7"/>
      <c r="T8" s="7"/>
      <c r="U8" s="7"/>
      <c r="V8" s="7"/>
      <c r="W8" s="7"/>
      <c r="X8" s="7"/>
      <c r="Y8" s="7"/>
      <c r="Z8" s="7"/>
      <c r="AA8" s="7"/>
      <c r="AB8" s="7"/>
      <c r="AC8" s="7"/>
      <c r="AD8" s="7"/>
      <c r="AE8" s="7"/>
      <c r="AF8" s="7"/>
    </row>
    <row r="9" spans="4:32" ht="12">
      <c r="D9" s="8"/>
      <c r="E9" s="1">
        <v>3</v>
      </c>
      <c r="H9" s="7"/>
      <c r="I9" s="7"/>
      <c r="J9" s="7"/>
      <c r="K9" s="7"/>
      <c r="L9" s="13" t="s">
        <v>203</v>
      </c>
      <c r="M9" s="7"/>
      <c r="N9" s="7"/>
      <c r="O9" s="7"/>
      <c r="P9" s="7"/>
      <c r="Q9" s="7"/>
      <c r="R9" s="7"/>
      <c r="S9" s="7"/>
      <c r="T9" s="7"/>
      <c r="U9" s="7"/>
      <c r="V9" s="7"/>
      <c r="W9" s="7"/>
      <c r="X9" s="7"/>
      <c r="Y9" s="7"/>
      <c r="Z9" s="7"/>
      <c r="AA9" s="7"/>
      <c r="AB9" s="7"/>
      <c r="AC9" s="7"/>
      <c r="AD9" s="7"/>
      <c r="AE9" s="7"/>
      <c r="AF9" s="7"/>
    </row>
    <row r="10" spans="2:32" ht="12">
      <c r="B10" s="2" t="s">
        <v>248</v>
      </c>
      <c r="E10" s="1">
        <v>4</v>
      </c>
      <c r="H10" s="7"/>
      <c r="I10" s="10">
        <v>37005</v>
      </c>
      <c r="J10" s="7">
        <v>16</v>
      </c>
      <c r="K10" s="7">
        <v>64</v>
      </c>
      <c r="L10" s="7">
        <v>44</v>
      </c>
      <c r="M10" s="7"/>
      <c r="N10" s="7"/>
      <c r="O10" s="7"/>
      <c r="P10" s="7"/>
      <c r="Q10" s="7"/>
      <c r="R10" s="7"/>
      <c r="S10" s="7"/>
      <c r="T10" s="7"/>
      <c r="U10" s="7"/>
      <c r="V10" s="7"/>
      <c r="W10" s="7"/>
      <c r="X10" s="7"/>
      <c r="Y10" s="7"/>
      <c r="Z10" s="7"/>
      <c r="AA10" s="7"/>
      <c r="AB10" s="7"/>
      <c r="AC10" s="7"/>
      <c r="AD10" s="7"/>
      <c r="AE10" s="7"/>
      <c r="AF10" s="7"/>
    </row>
    <row r="11" spans="1:25" ht="12">
      <c r="A11" s="8" t="s">
        <v>21</v>
      </c>
      <c r="B11" s="8"/>
      <c r="C11" s="1">
        <v>84</v>
      </c>
      <c r="D11" s="1">
        <v>0.49</v>
      </c>
      <c r="E11" s="1">
        <v>1</v>
      </c>
      <c r="H11" s="6"/>
      <c r="I11" s="6"/>
      <c r="J11" s="6"/>
      <c r="K11" s="6"/>
      <c r="L11" s="6"/>
      <c r="M11" s="6" t="s">
        <v>75</v>
      </c>
      <c r="N11" s="6" t="s">
        <v>76</v>
      </c>
      <c r="O11" s="6" t="s">
        <v>77</v>
      </c>
      <c r="P11" s="6" t="s">
        <v>78</v>
      </c>
      <c r="Q11" s="6" t="s">
        <v>79</v>
      </c>
      <c r="R11" s="6" t="s">
        <v>80</v>
      </c>
      <c r="S11" s="6" t="s">
        <v>81</v>
      </c>
      <c r="T11" s="6" t="s">
        <v>82</v>
      </c>
      <c r="U11" s="6" t="s">
        <v>83</v>
      </c>
      <c r="V11" s="6" t="s">
        <v>84</v>
      </c>
      <c r="W11" s="6" t="s">
        <v>85</v>
      </c>
      <c r="X11" s="6" t="s">
        <v>86</v>
      </c>
      <c r="Y11" s="6"/>
    </row>
    <row r="12" spans="1:23" ht="12">
      <c r="A12" s="8" t="s">
        <v>22</v>
      </c>
      <c r="B12" s="8"/>
      <c r="D12" s="8"/>
      <c r="E12" s="1">
        <v>2</v>
      </c>
      <c r="M12" s="4" t="s">
        <v>240</v>
      </c>
      <c r="W12" s="4" t="s">
        <v>241</v>
      </c>
    </row>
    <row r="13" spans="4:23" ht="12">
      <c r="D13" s="8"/>
      <c r="E13" s="1">
        <v>3</v>
      </c>
      <c r="H13" s="23" t="s">
        <v>210</v>
      </c>
      <c r="L13" s="3" t="s">
        <v>96</v>
      </c>
      <c r="M13" s="3">
        <v>4.668762125000001</v>
      </c>
      <c r="N13" s="3">
        <v>4.303041862500001</v>
      </c>
      <c r="O13" s="3">
        <v>6.44960125</v>
      </c>
      <c r="P13" s="3">
        <v>9.982548625</v>
      </c>
      <c r="Q13" s="3">
        <v>6.553111499999999</v>
      </c>
      <c r="R13" s="3">
        <v>2.666248925</v>
      </c>
      <c r="S13" s="3">
        <v>0.1764597875</v>
      </c>
      <c r="T13" s="3">
        <v>0</v>
      </c>
      <c r="U13" s="3">
        <v>0</v>
      </c>
      <c r="V13" s="3">
        <v>0</v>
      </c>
      <c r="W13" s="3">
        <f>SUM(M13:V13)</f>
        <v>34.799774075</v>
      </c>
    </row>
    <row r="14" spans="2:23" ht="12">
      <c r="B14" s="2" t="s">
        <v>301</v>
      </c>
      <c r="E14" s="1">
        <v>4</v>
      </c>
      <c r="H14" s="23" t="s">
        <v>211</v>
      </c>
      <c r="L14" s="3" t="s">
        <v>88</v>
      </c>
      <c r="M14" s="3">
        <f>M13/$W$13</f>
        <v>0.13416070216254702</v>
      </c>
      <c r="N14" s="3">
        <f aca="true" t="shared" si="0" ref="N14:V14">N13/$W$13</f>
        <v>0.1236514309899295</v>
      </c>
      <c r="O14" s="3">
        <f t="shared" si="0"/>
        <v>0.18533457246302537</v>
      </c>
      <c r="P14" s="3">
        <f t="shared" si="0"/>
        <v>0.2868567078477506</v>
      </c>
      <c r="Q14" s="3">
        <f t="shared" si="0"/>
        <v>0.1883090242447213</v>
      </c>
      <c r="R14" s="3">
        <f t="shared" si="0"/>
        <v>0.07661684582358887</v>
      </c>
      <c r="S14" s="3">
        <f t="shared" si="0"/>
        <v>0.005070716468437302</v>
      </c>
      <c r="T14" s="3">
        <f t="shared" si="0"/>
        <v>0</v>
      </c>
      <c r="U14" s="3">
        <f t="shared" si="0"/>
        <v>0</v>
      </c>
      <c r="V14" s="3">
        <f t="shared" si="0"/>
        <v>0</v>
      </c>
      <c r="W14" s="3">
        <f aca="true" t="shared" si="1" ref="W14:W19">SUM(M14:V14)</f>
        <v>0.9999999999999999</v>
      </c>
    </row>
    <row r="15" spans="1:23" ht="12">
      <c r="A15" s="8" t="s">
        <v>19</v>
      </c>
      <c r="B15" s="8"/>
      <c r="C15" s="1">
        <v>86</v>
      </c>
      <c r="D15" s="1">
        <v>0.48</v>
      </c>
      <c r="E15" s="1">
        <v>1</v>
      </c>
      <c r="H15" s="23" t="s">
        <v>212</v>
      </c>
      <c r="L15" s="3" t="s">
        <v>94</v>
      </c>
      <c r="M15" s="3">
        <v>22.243515000000002</v>
      </c>
      <c r="N15" s="3">
        <v>42.528127624999996</v>
      </c>
      <c r="O15" s="3">
        <v>68.62584749999999</v>
      </c>
      <c r="P15" s="3">
        <v>57.17572625</v>
      </c>
      <c r="Q15" s="3">
        <v>53.69388375</v>
      </c>
      <c r="R15" s="3">
        <v>35.50666325</v>
      </c>
      <c r="S15" s="3">
        <v>12.749975000000001</v>
      </c>
      <c r="T15" s="3">
        <v>0</v>
      </c>
      <c r="U15" s="3">
        <v>0</v>
      </c>
      <c r="V15" s="3">
        <v>0</v>
      </c>
      <c r="W15" s="3">
        <f t="shared" si="1"/>
        <v>292.523738375</v>
      </c>
    </row>
    <row r="16" spans="1:23" ht="12">
      <c r="A16" s="8" t="s">
        <v>149</v>
      </c>
      <c r="B16" s="8"/>
      <c r="D16" s="8"/>
      <c r="E16" s="1">
        <v>2</v>
      </c>
      <c r="H16" s="23" t="s">
        <v>213</v>
      </c>
      <c r="L16" s="3" t="s">
        <v>95</v>
      </c>
      <c r="M16" s="3">
        <v>22.942707499999997</v>
      </c>
      <c r="N16" s="3">
        <v>51.658333750000004</v>
      </c>
      <c r="O16" s="3">
        <v>69.07291875000001</v>
      </c>
      <c r="P16" s="3">
        <v>60.15625</v>
      </c>
      <c r="Q16" s="3">
        <v>53.011903749999995</v>
      </c>
      <c r="R16" s="3">
        <v>39.71875</v>
      </c>
      <c r="S16" s="3">
        <v>23.625</v>
      </c>
      <c r="T16" s="3">
        <v>10.875</v>
      </c>
      <c r="U16" s="3">
        <v>0</v>
      </c>
      <c r="V16" s="3">
        <v>0</v>
      </c>
      <c r="W16" s="3">
        <f t="shared" si="1"/>
        <v>331.06086375</v>
      </c>
    </row>
    <row r="17" spans="4:23" ht="12">
      <c r="D17" s="8"/>
      <c r="H17" s="23" t="s">
        <v>214</v>
      </c>
      <c r="L17" s="3" t="s">
        <v>89</v>
      </c>
      <c r="M17" s="3">
        <f>3.1415926*0.492*10</f>
        <v>15.456635592000001</v>
      </c>
      <c r="N17" s="3">
        <f>3.1415926*0.492*5</f>
        <v>7.728317796000001</v>
      </c>
      <c r="O17" s="3">
        <f>3.1415926*0.492*5</f>
        <v>7.728317796000001</v>
      </c>
      <c r="P17" s="3">
        <f>3.1415926*0.492*5</f>
        <v>7.728317796000001</v>
      </c>
      <c r="Q17" s="3">
        <f>3.1415926*0.492*5</f>
        <v>7.728317796000001</v>
      </c>
      <c r="R17" s="3">
        <f>3.1415926*0.492*5</f>
        <v>7.728317796000001</v>
      </c>
      <c r="S17" s="3">
        <f>3.1415926*0.492*4.4</f>
        <v>6.800919660480001</v>
      </c>
      <c r="T17" s="3">
        <v>0</v>
      </c>
      <c r="U17" s="3">
        <v>0</v>
      </c>
      <c r="V17" s="3">
        <v>0</v>
      </c>
      <c r="W17" s="3">
        <f t="shared" si="1"/>
        <v>60.89914423248</v>
      </c>
    </row>
    <row r="18" spans="2:23" ht="12">
      <c r="B18" s="2" t="s">
        <v>298</v>
      </c>
      <c r="H18" s="23" t="s">
        <v>215</v>
      </c>
      <c r="L18" s="3" t="s">
        <v>90</v>
      </c>
      <c r="M18" s="3">
        <f aca="true" t="shared" si="2" ref="M18:W18">M17/$W$17</f>
        <v>0.2538071065989848</v>
      </c>
      <c r="N18" s="3">
        <f t="shared" si="2"/>
        <v>0.1269035532994924</v>
      </c>
      <c r="O18" s="3">
        <f t="shared" si="2"/>
        <v>0.1269035532994924</v>
      </c>
      <c r="P18" s="3">
        <f t="shared" si="2"/>
        <v>0.1269035532994924</v>
      </c>
      <c r="Q18" s="3">
        <f t="shared" si="2"/>
        <v>0.1269035532994924</v>
      </c>
      <c r="R18" s="3">
        <f t="shared" si="2"/>
        <v>0.1269035532994924</v>
      </c>
      <c r="S18" s="3">
        <f t="shared" si="2"/>
        <v>0.11167512690355332</v>
      </c>
      <c r="T18" s="3">
        <f t="shared" si="2"/>
        <v>0</v>
      </c>
      <c r="U18" s="3">
        <f t="shared" si="2"/>
        <v>0</v>
      </c>
      <c r="V18" s="3">
        <f t="shared" si="2"/>
        <v>0</v>
      </c>
      <c r="W18" s="3">
        <f t="shared" si="2"/>
        <v>1</v>
      </c>
    </row>
    <row r="19" spans="1:23" ht="12">
      <c r="A19" s="8" t="s">
        <v>150</v>
      </c>
      <c r="B19" s="8"/>
      <c r="C19" s="1">
        <v>85</v>
      </c>
      <c r="D19" s="1">
        <v>0.48</v>
      </c>
      <c r="E19" s="1">
        <v>1</v>
      </c>
      <c r="H19" s="23" t="s">
        <v>216</v>
      </c>
      <c r="L19" s="3" t="s">
        <v>91</v>
      </c>
      <c r="M19" s="3">
        <v>0</v>
      </c>
      <c r="N19" s="3">
        <v>0</v>
      </c>
      <c r="O19" s="3">
        <v>0</v>
      </c>
      <c r="P19" s="3">
        <v>0</v>
      </c>
      <c r="Q19" s="3">
        <v>0</v>
      </c>
      <c r="R19" s="3">
        <v>0</v>
      </c>
      <c r="S19" s="3">
        <v>0</v>
      </c>
      <c r="T19" s="3">
        <v>0</v>
      </c>
      <c r="U19" s="3">
        <v>0</v>
      </c>
      <c r="V19" s="3">
        <v>0</v>
      </c>
      <c r="W19" s="3">
        <f t="shared" si="1"/>
        <v>0</v>
      </c>
    </row>
    <row r="20" spans="1:23" ht="12">
      <c r="A20" s="8" t="s">
        <v>151</v>
      </c>
      <c r="B20" s="8"/>
      <c r="D20" s="8"/>
      <c r="E20" s="1">
        <v>2</v>
      </c>
      <c r="H20" s="23" t="s">
        <v>217</v>
      </c>
      <c r="L20" s="3" t="s">
        <v>92</v>
      </c>
      <c r="M20" s="3">
        <v>0</v>
      </c>
      <c r="N20" s="3">
        <v>0</v>
      </c>
      <c r="O20" s="3">
        <v>0</v>
      </c>
      <c r="P20" s="3">
        <v>0</v>
      </c>
      <c r="Q20" s="3">
        <v>0</v>
      </c>
      <c r="R20" s="3">
        <v>0</v>
      </c>
      <c r="S20" s="3">
        <v>0</v>
      </c>
      <c r="T20" s="3">
        <v>0</v>
      </c>
      <c r="U20" s="3">
        <v>0</v>
      </c>
      <c r="V20" s="3">
        <v>0</v>
      </c>
      <c r="W20" s="3">
        <v>0</v>
      </c>
    </row>
    <row r="21" spans="4:23" ht="12">
      <c r="D21" s="8"/>
      <c r="E21" s="1">
        <v>3</v>
      </c>
      <c r="H21" s="23" t="s">
        <v>218</v>
      </c>
      <c r="L21" s="3" t="s">
        <v>93</v>
      </c>
      <c r="M21" s="3">
        <f>M13+M17+M19</f>
        <v>20.125397717000002</v>
      </c>
      <c r="N21" s="3">
        <f aca="true" t="shared" si="3" ref="N21:W21">N13+N17+N19</f>
        <v>12.031359658500001</v>
      </c>
      <c r="O21" s="3">
        <f t="shared" si="3"/>
        <v>14.177919046</v>
      </c>
      <c r="P21" s="3">
        <f t="shared" si="3"/>
        <v>17.710866421</v>
      </c>
      <c r="Q21" s="3">
        <f t="shared" si="3"/>
        <v>14.281429295999999</v>
      </c>
      <c r="R21" s="3">
        <f>R13+R17+R19</f>
        <v>10.394566721</v>
      </c>
      <c r="S21" s="3">
        <f t="shared" si="3"/>
        <v>6.977379447980001</v>
      </c>
      <c r="T21" s="3">
        <f t="shared" si="3"/>
        <v>0</v>
      </c>
      <c r="U21" s="3">
        <f t="shared" si="3"/>
        <v>0</v>
      </c>
      <c r="V21" s="3">
        <f t="shared" si="3"/>
        <v>0</v>
      </c>
      <c r="W21" s="3">
        <f t="shared" si="3"/>
        <v>95.69891830748</v>
      </c>
    </row>
    <row r="22" spans="2:23" ht="12">
      <c r="B22" s="2" t="s">
        <v>205</v>
      </c>
      <c r="H22" s="23" t="s">
        <v>219</v>
      </c>
      <c r="L22" s="3" t="s">
        <v>93</v>
      </c>
      <c r="M22" s="3">
        <f>M21/$W$21</f>
        <v>0.2102991138555739</v>
      </c>
      <c r="N22" s="3">
        <f aca="true" t="shared" si="4" ref="N22:W22">N21/$W$21</f>
        <v>0.12572095767940994</v>
      </c>
      <c r="O22" s="3">
        <f t="shared" si="4"/>
        <v>0.14815129885216088</v>
      </c>
      <c r="P22" s="3">
        <f t="shared" si="4"/>
        <v>0.18506861659705598</v>
      </c>
      <c r="Q22" s="3">
        <f t="shared" si="4"/>
        <v>0.14923292288543805</v>
      </c>
      <c r="R22" s="3">
        <f t="shared" si="4"/>
        <v>0.10861738988106767</v>
      </c>
      <c r="S22" s="3">
        <f t="shared" si="4"/>
        <v>0.07290970024929358</v>
      </c>
      <c r="T22" s="3">
        <f t="shared" si="4"/>
        <v>0</v>
      </c>
      <c r="U22" s="3">
        <f t="shared" si="4"/>
        <v>0</v>
      </c>
      <c r="V22" s="3">
        <f t="shared" si="4"/>
        <v>0</v>
      </c>
      <c r="W22" s="3">
        <f t="shared" si="4"/>
        <v>1</v>
      </c>
    </row>
    <row r="23" spans="3:32" ht="11.25">
      <c r="C23" s="1">
        <v>84</v>
      </c>
      <c r="D23" s="1">
        <v>0.5</v>
      </c>
      <c r="E23" s="1">
        <v>1</v>
      </c>
      <c r="H23" s="7"/>
      <c r="I23" s="7"/>
      <c r="J23" s="7"/>
      <c r="K23" s="7"/>
      <c r="L23" s="7" t="s">
        <v>46</v>
      </c>
      <c r="M23" s="7" t="s">
        <v>47</v>
      </c>
      <c r="N23" s="11">
        <v>37021</v>
      </c>
      <c r="O23" s="11">
        <v>37179</v>
      </c>
      <c r="P23" s="7" t="s">
        <v>48</v>
      </c>
      <c r="Q23" s="7" t="s">
        <v>49</v>
      </c>
      <c r="R23" s="7" t="s">
        <v>50</v>
      </c>
      <c r="S23" s="7" t="s">
        <v>51</v>
      </c>
      <c r="T23" s="7" t="s">
        <v>52</v>
      </c>
      <c r="U23" s="7" t="s">
        <v>53</v>
      </c>
      <c r="V23" s="7" t="s">
        <v>54</v>
      </c>
      <c r="W23" s="7" t="s">
        <v>55</v>
      </c>
      <c r="X23" s="7" t="s">
        <v>56</v>
      </c>
      <c r="Y23" s="7" t="s">
        <v>57</v>
      </c>
      <c r="Z23" s="7" t="s">
        <v>58</v>
      </c>
      <c r="AA23" s="7" t="s">
        <v>59</v>
      </c>
      <c r="AB23" s="7" t="s">
        <v>60</v>
      </c>
      <c r="AC23" s="7" t="s">
        <v>61</v>
      </c>
      <c r="AD23" s="7" t="s">
        <v>62</v>
      </c>
      <c r="AE23" s="7" t="s">
        <v>63</v>
      </c>
      <c r="AF23" s="7"/>
    </row>
    <row r="24" spans="5:32" ht="12">
      <c r="E24" s="1">
        <v>2</v>
      </c>
      <c r="H24" s="7"/>
      <c r="I24" s="7"/>
      <c r="J24" s="7"/>
      <c r="K24" s="7"/>
      <c r="L24" s="13" t="s">
        <v>234</v>
      </c>
      <c r="M24" s="7"/>
      <c r="N24" s="12"/>
      <c r="O24" s="12"/>
      <c r="P24" s="7"/>
      <c r="Q24" s="7"/>
      <c r="R24" s="7"/>
      <c r="S24" s="7"/>
      <c r="T24" s="7"/>
      <c r="U24" s="7"/>
      <c r="V24" s="7"/>
      <c r="W24" s="7"/>
      <c r="X24" s="7"/>
      <c r="Y24" s="7"/>
      <c r="Z24" s="7"/>
      <c r="AA24" s="7"/>
      <c r="AB24" s="7"/>
      <c r="AC24" s="7"/>
      <c r="AD24" s="7"/>
      <c r="AE24" s="13" t="s">
        <v>242</v>
      </c>
      <c r="AF24" s="7"/>
    </row>
    <row r="25" spans="5:32" ht="12">
      <c r="E25" s="1">
        <v>3</v>
      </c>
      <c r="H25" s="13" t="s">
        <v>220</v>
      </c>
      <c r="I25" s="7"/>
      <c r="J25" s="7"/>
      <c r="K25" s="7"/>
      <c r="L25" s="7" t="s">
        <v>97</v>
      </c>
      <c r="M25" s="7">
        <v>1.22145</v>
      </c>
      <c r="N25" s="7">
        <v>1.324004125</v>
      </c>
      <c r="O25" s="7">
        <v>1.43878125</v>
      </c>
      <c r="P25" s="7">
        <v>0.622812625</v>
      </c>
      <c r="Q25" s="7">
        <v>0.669300125</v>
      </c>
      <c r="R25" s="7">
        <v>0.8513125</v>
      </c>
      <c r="S25" s="7">
        <v>0.691927125</v>
      </c>
      <c r="T25" s="7">
        <v>1.5601042875000002</v>
      </c>
      <c r="U25" s="7">
        <v>2.3188585</v>
      </c>
      <c r="V25" s="7">
        <v>1.2732708750000001</v>
      </c>
      <c r="W25" s="7">
        <v>2.1820626250000004</v>
      </c>
      <c r="X25" s="7">
        <v>3.8711248749999996</v>
      </c>
      <c r="Y25" s="7">
        <v>2.9419375</v>
      </c>
      <c r="Z25" s="7">
        <v>4.5286605</v>
      </c>
      <c r="AA25" s="7">
        <v>3.84653125</v>
      </c>
      <c r="AB25" s="7">
        <v>4.3913025</v>
      </c>
      <c r="AC25" s="7">
        <v>1.0663333625</v>
      </c>
      <c r="AD25" s="7">
        <v>0</v>
      </c>
      <c r="AE25" s="7">
        <f>SUM(M25:AD25)</f>
        <v>34.799774025000005</v>
      </c>
      <c r="AF25" s="7"/>
    </row>
    <row r="26" spans="5:32" ht="12">
      <c r="E26" s="1">
        <v>4</v>
      </c>
      <c r="H26" s="13" t="s">
        <v>221</v>
      </c>
      <c r="I26" s="7"/>
      <c r="J26" s="7"/>
      <c r="K26" s="7"/>
      <c r="L26" s="7" t="s">
        <v>64</v>
      </c>
      <c r="M26" s="7">
        <v>0</v>
      </c>
      <c r="N26" s="7">
        <v>0</v>
      </c>
      <c r="O26" s="7">
        <v>0</v>
      </c>
      <c r="P26" s="7">
        <v>0</v>
      </c>
      <c r="Q26" s="7">
        <v>0</v>
      </c>
      <c r="R26" s="7">
        <v>0</v>
      </c>
      <c r="S26" s="7">
        <v>0</v>
      </c>
      <c r="T26" s="7">
        <v>0</v>
      </c>
      <c r="U26" s="7">
        <v>0</v>
      </c>
      <c r="V26" s="7">
        <v>0</v>
      </c>
      <c r="W26" s="7">
        <v>0</v>
      </c>
      <c r="X26" s="7">
        <v>0</v>
      </c>
      <c r="Y26" s="7">
        <v>0</v>
      </c>
      <c r="Z26" s="7">
        <v>0</v>
      </c>
      <c r="AA26" s="7">
        <v>0</v>
      </c>
      <c r="AB26" s="7">
        <v>0</v>
      </c>
      <c r="AC26" s="7">
        <f>3.1415*0.49*32</f>
        <v>49.258720000000004</v>
      </c>
      <c r="AD26" s="7">
        <f>3.1415*0.49*32</f>
        <v>49.258720000000004</v>
      </c>
      <c r="AE26" s="7">
        <f>SUM(M14:AD14)</f>
        <v>1.9999999999999998</v>
      </c>
      <c r="AF26" s="7"/>
    </row>
    <row r="27" spans="2:32" ht="12">
      <c r="B27" s="2" t="s">
        <v>275</v>
      </c>
      <c r="E27" s="1">
        <v>5</v>
      </c>
      <c r="H27" s="13" t="s">
        <v>222</v>
      </c>
      <c r="I27" s="7"/>
      <c r="J27" s="7"/>
      <c r="K27" s="7"/>
      <c r="L27" s="7" t="s">
        <v>65</v>
      </c>
      <c r="M27" s="7">
        <f>M25+M26</f>
        <v>1.22145</v>
      </c>
      <c r="N27" s="7">
        <v>15.7776</v>
      </c>
      <c r="O27" s="7">
        <v>15.9637</v>
      </c>
      <c r="P27" s="7">
        <v>9.7297</v>
      </c>
      <c r="Q27" s="7">
        <v>13.0172</v>
      </c>
      <c r="R27" s="7">
        <v>15.175</v>
      </c>
      <c r="S27" s="7">
        <v>9.0759</v>
      </c>
      <c r="T27" s="7">
        <v>11.6235</v>
      </c>
      <c r="U27" s="7">
        <v>7.523</v>
      </c>
      <c r="V27" s="7">
        <v>14.344</v>
      </c>
      <c r="W27" s="7">
        <v>9.358</v>
      </c>
      <c r="X27" s="7">
        <v>15.0713</v>
      </c>
      <c r="Y27" s="7">
        <v>8.5356</v>
      </c>
      <c r="Z27" s="7">
        <v>9.2383</v>
      </c>
      <c r="AA27" s="7">
        <v>10.0258</v>
      </c>
      <c r="AB27" s="7">
        <v>5.6752</v>
      </c>
      <c r="AC27" s="7">
        <f>AC25+AC26</f>
        <v>50.3250533625</v>
      </c>
      <c r="AD27" s="7">
        <f>AD26+AD25</f>
        <v>49.258720000000004</v>
      </c>
      <c r="AE27" s="7">
        <f>AE25+AE26</f>
        <v>36.799774025000005</v>
      </c>
      <c r="AF27" s="7"/>
    </row>
    <row r="28" spans="3:32" ht="12">
      <c r="C28" s="1">
        <v>87</v>
      </c>
      <c r="D28" s="1">
        <v>0.5</v>
      </c>
      <c r="E28" s="1">
        <v>1</v>
      </c>
      <c r="H28" s="13" t="s">
        <v>223</v>
      </c>
      <c r="I28" s="7"/>
      <c r="J28" s="7"/>
      <c r="K28" s="7"/>
      <c r="L28" s="7" t="s">
        <v>66</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row>
    <row r="29" spans="5:32" ht="12">
      <c r="E29" s="1">
        <v>2</v>
      </c>
      <c r="H29" s="13" t="s">
        <v>224</v>
      </c>
      <c r="I29" s="7"/>
      <c r="J29" s="7"/>
      <c r="K29" s="7"/>
      <c r="L29" s="7" t="s">
        <v>67</v>
      </c>
      <c r="M29" s="7">
        <f aca="true" t="shared" si="5" ref="M29:AC29">M27+M28</f>
        <v>1.22145</v>
      </c>
      <c r="N29" s="7">
        <f t="shared" si="5"/>
        <v>15.7776</v>
      </c>
      <c r="O29" s="7">
        <f t="shared" si="5"/>
        <v>15.9637</v>
      </c>
      <c r="P29" s="7">
        <f t="shared" si="5"/>
        <v>9.7297</v>
      </c>
      <c r="Q29" s="7">
        <f t="shared" si="5"/>
        <v>13.0172</v>
      </c>
      <c r="R29" s="7">
        <f t="shared" si="5"/>
        <v>15.175</v>
      </c>
      <c r="S29" s="7">
        <f t="shared" si="5"/>
        <v>9.0759</v>
      </c>
      <c r="T29" s="7">
        <f t="shared" si="5"/>
        <v>11.6235</v>
      </c>
      <c r="U29" s="7">
        <f t="shared" si="5"/>
        <v>7.523</v>
      </c>
      <c r="V29" s="7">
        <f t="shared" si="5"/>
        <v>14.344</v>
      </c>
      <c r="W29" s="7">
        <f t="shared" si="5"/>
        <v>9.358</v>
      </c>
      <c r="X29" s="7">
        <f t="shared" si="5"/>
        <v>15.0713</v>
      </c>
      <c r="Y29" s="7">
        <f t="shared" si="5"/>
        <v>8.5356</v>
      </c>
      <c r="Z29" s="7">
        <f t="shared" si="5"/>
        <v>9.2383</v>
      </c>
      <c r="AA29" s="7">
        <f t="shared" si="5"/>
        <v>10.0258</v>
      </c>
      <c r="AB29" s="7">
        <f t="shared" si="5"/>
        <v>5.6752</v>
      </c>
      <c r="AC29" s="7">
        <f t="shared" si="5"/>
        <v>50.3250533625</v>
      </c>
      <c r="AD29" s="7">
        <f>AD28+AD27</f>
        <v>49.258720000000004</v>
      </c>
      <c r="AE29" s="7">
        <f>AE27+AE28</f>
        <v>36.799774025000005</v>
      </c>
      <c r="AF29" s="7"/>
    </row>
    <row r="30" spans="5:32" ht="12">
      <c r="E30" s="1">
        <v>3</v>
      </c>
      <c r="H30" s="13" t="s">
        <v>225</v>
      </c>
      <c r="I30" s="7"/>
      <c r="J30" s="7"/>
      <c r="K30" s="7"/>
      <c r="L30" s="7" t="s">
        <v>68</v>
      </c>
      <c r="M30" s="7">
        <f>M25/AE25</f>
        <v>0.03509936584997694</v>
      </c>
      <c r="N30" s="7">
        <f>N25/AE25</f>
        <v>0.03804634260121463</v>
      </c>
      <c r="O30" s="7">
        <f>O25/AE25</f>
        <v>0.04134455726541172</v>
      </c>
      <c r="P30" s="7">
        <f>P25/AE25</f>
        <v>0.017897030726480412</v>
      </c>
      <c r="Q30" s="7">
        <f>Q25/AE25</f>
        <v>0.019232887102059275</v>
      </c>
      <c r="R30" s="7">
        <f>R25/AE25</f>
        <v>0.02446316172594744</v>
      </c>
      <c r="S30" s="7">
        <f>S25/AE25</f>
        <v>0.019883092473615565</v>
      </c>
      <c r="T30" s="7">
        <f>T25/AE25</f>
        <v>0.044830874084964695</v>
      </c>
      <c r="U30" s="7">
        <f>U25/AE25</f>
        <v>0.06663429763463816</v>
      </c>
      <c r="V30" s="7">
        <f>V25/AE25</f>
        <v>0.0365884811230466</v>
      </c>
      <c r="W30" s="7">
        <f>W25/AE25</f>
        <v>0.0627033561606583</v>
      </c>
      <c r="X30" s="7">
        <f>X25/AE25</f>
        <v>0.11123994288638198</v>
      </c>
      <c r="Y30" s="7">
        <f>Y25/AE25</f>
        <v>0.08453898286484633</v>
      </c>
      <c r="Z30" s="7">
        <f>Z25/AE25</f>
        <v>0.13013476744839292</v>
      </c>
      <c r="AA30" s="7">
        <f>AA25/AE25</f>
        <v>0.11053322493521564</v>
      </c>
      <c r="AB30" s="7">
        <f>AB25/AE25</f>
        <v>0.1261876728522808</v>
      </c>
      <c r="AC30" s="7">
        <f>AC25/AE25</f>
        <v>0.030641962264868466</v>
      </c>
      <c r="AD30" s="7">
        <f>AD25/AE25</f>
        <v>0</v>
      </c>
      <c r="AE30" s="7">
        <f>AE25/AE25</f>
        <v>1</v>
      </c>
      <c r="AF30" s="7"/>
    </row>
    <row r="31" spans="5:32" ht="12">
      <c r="E31" s="1">
        <v>4</v>
      </c>
      <c r="H31" s="13" t="s">
        <v>226</v>
      </c>
      <c r="I31" s="7"/>
      <c r="J31" s="7"/>
      <c r="K31" s="7"/>
      <c r="L31" s="7" t="s">
        <v>69</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1</v>
      </c>
      <c r="AE31" s="7"/>
      <c r="AF31" s="7"/>
    </row>
    <row r="32" spans="2:32" ht="12">
      <c r="B32" s="2" t="s">
        <v>321</v>
      </c>
      <c r="E32" s="1">
        <v>5</v>
      </c>
      <c r="H32" s="13" t="s">
        <v>227</v>
      </c>
      <c r="I32" s="7"/>
      <c r="J32" s="7"/>
      <c r="K32" s="7"/>
      <c r="L32" s="7" t="s">
        <v>70</v>
      </c>
      <c r="M32" s="3">
        <f aca="true" t="shared" si="6" ref="M32:AE32">M27/$AE$27</f>
        <v>0.03319177990522999</v>
      </c>
      <c r="N32" s="3">
        <f t="shared" si="6"/>
        <v>0.42874176317717205</v>
      </c>
      <c r="O32" s="3">
        <f t="shared" si="6"/>
        <v>0.43379885944829516</v>
      </c>
      <c r="P32" s="3">
        <f t="shared" si="6"/>
        <v>0.26439564529363974</v>
      </c>
      <c r="Q32" s="3">
        <f t="shared" si="6"/>
        <v>0.35373043299550533</v>
      </c>
      <c r="R32" s="3">
        <f t="shared" si="6"/>
        <v>0.41236666262382027</v>
      </c>
      <c r="S32" s="3">
        <f t="shared" si="6"/>
        <v>0.24662923184893115</v>
      </c>
      <c r="T32" s="3">
        <f t="shared" si="6"/>
        <v>0.3158579178258962</v>
      </c>
      <c r="U32" s="3">
        <f t="shared" si="6"/>
        <v>0.20443060315775943</v>
      </c>
      <c r="V32" s="3">
        <f t="shared" si="6"/>
        <v>0.38978500221918133</v>
      </c>
      <c r="W32" s="3">
        <f t="shared" si="6"/>
        <v>0.25429503979134827</v>
      </c>
      <c r="X32" s="3">
        <f t="shared" si="6"/>
        <v>0.4095487105372245</v>
      </c>
      <c r="Y32" s="3">
        <f t="shared" si="6"/>
        <v>0.2319470764739295</v>
      </c>
      <c r="Z32" s="3">
        <f t="shared" si="6"/>
        <v>0.2510423024262035</v>
      </c>
      <c r="AA32" s="3">
        <f t="shared" si="6"/>
        <v>0.2724418903547873</v>
      </c>
      <c r="AB32" s="3">
        <f t="shared" si="6"/>
        <v>0.15421833830133144</v>
      </c>
      <c r="AC32" s="3">
        <f t="shared" si="6"/>
        <v>1.3675370215130007</v>
      </c>
      <c r="AD32" s="3">
        <f t="shared" si="6"/>
        <v>1.3385603935104597</v>
      </c>
      <c r="AE32" s="3">
        <f t="shared" si="6"/>
        <v>1</v>
      </c>
      <c r="AF32" s="7"/>
    </row>
    <row r="33" spans="3:32" ht="12">
      <c r="C33" s="1">
        <v>86</v>
      </c>
      <c r="D33" s="1">
        <v>0.49</v>
      </c>
      <c r="E33" s="1">
        <v>1</v>
      </c>
      <c r="H33" s="13" t="s">
        <v>228</v>
      </c>
      <c r="I33" s="7"/>
      <c r="J33" s="7"/>
      <c r="K33" s="7"/>
      <c r="L33" s="7" t="s">
        <v>71</v>
      </c>
      <c r="M33" s="7">
        <f>M30</f>
        <v>0.03509936584997694</v>
      </c>
      <c r="N33" s="7">
        <f>M30+N30</f>
        <v>0.07314570845119157</v>
      </c>
      <c r="O33" s="7">
        <f aca="true" t="shared" si="7" ref="O33:AD33">N33+O30</f>
        <v>0.11449026571660328</v>
      </c>
      <c r="P33" s="7">
        <f t="shared" si="7"/>
        <v>0.1323872964430837</v>
      </c>
      <c r="Q33" s="7">
        <f t="shared" si="7"/>
        <v>0.15162018354514298</v>
      </c>
      <c r="R33" s="7">
        <f t="shared" si="7"/>
        <v>0.17608334527109043</v>
      </c>
      <c r="S33" s="7">
        <f t="shared" si="7"/>
        <v>0.19596643774470598</v>
      </c>
      <c r="T33" s="7">
        <f t="shared" si="7"/>
        <v>0.24079731182967068</v>
      </c>
      <c r="U33" s="7">
        <f t="shared" si="7"/>
        <v>0.3074316094643088</v>
      </c>
      <c r="V33" s="7">
        <f t="shared" si="7"/>
        <v>0.3440200905873554</v>
      </c>
      <c r="W33" s="7">
        <f t="shared" si="7"/>
        <v>0.4067234467480137</v>
      </c>
      <c r="X33" s="7">
        <f t="shared" si="7"/>
        <v>0.5179633896343957</v>
      </c>
      <c r="Y33" s="7">
        <f t="shared" si="7"/>
        <v>0.602502372499242</v>
      </c>
      <c r="Z33" s="7">
        <f t="shared" si="7"/>
        <v>0.7326371399476349</v>
      </c>
      <c r="AA33" s="7">
        <f t="shared" si="7"/>
        <v>0.8431703648828506</v>
      </c>
      <c r="AB33" s="7">
        <f t="shared" si="7"/>
        <v>0.9693580377351314</v>
      </c>
      <c r="AC33" s="7">
        <f t="shared" si="7"/>
        <v>0.9999999999999999</v>
      </c>
      <c r="AD33" s="7">
        <f t="shared" si="7"/>
        <v>0.9999999999999999</v>
      </c>
      <c r="AE33" s="7"/>
      <c r="AF33" s="7"/>
    </row>
    <row r="34" spans="5:32" ht="12">
      <c r="E34" s="1">
        <v>2</v>
      </c>
      <c r="H34" s="13" t="s">
        <v>230</v>
      </c>
      <c r="I34" s="7"/>
      <c r="J34" s="7"/>
      <c r="K34" s="7"/>
      <c r="L34" s="7" t="s">
        <v>72</v>
      </c>
      <c r="M34" s="7">
        <f aca="true" t="shared" si="8" ref="M34:AC34">M33+M31</f>
        <v>0.03509936584997694</v>
      </c>
      <c r="N34" s="13">
        <f t="shared" si="8"/>
        <v>0.07314570845119157</v>
      </c>
      <c r="O34" s="13">
        <f t="shared" si="8"/>
        <v>0.11449026571660328</v>
      </c>
      <c r="P34" s="13">
        <f t="shared" si="8"/>
        <v>0.1323872964430837</v>
      </c>
      <c r="Q34" s="13">
        <f t="shared" si="8"/>
        <v>0.15162018354514298</v>
      </c>
      <c r="R34" s="13">
        <f t="shared" si="8"/>
        <v>0.17608334527109043</v>
      </c>
      <c r="S34" s="13">
        <f t="shared" si="8"/>
        <v>0.19596643774470598</v>
      </c>
      <c r="T34" s="13">
        <f t="shared" si="8"/>
        <v>0.24079731182967068</v>
      </c>
      <c r="U34" s="13">
        <f t="shared" si="8"/>
        <v>0.3074316094643088</v>
      </c>
      <c r="V34" s="13">
        <f t="shared" si="8"/>
        <v>0.3440200905873554</v>
      </c>
      <c r="W34" s="13">
        <f t="shared" si="8"/>
        <v>0.4067234467480137</v>
      </c>
      <c r="X34" s="13">
        <f t="shared" si="8"/>
        <v>0.5179633896343957</v>
      </c>
      <c r="Y34" s="13">
        <f t="shared" si="8"/>
        <v>0.602502372499242</v>
      </c>
      <c r="Z34" s="13">
        <f t="shared" si="8"/>
        <v>0.7326371399476349</v>
      </c>
      <c r="AA34" s="13">
        <f t="shared" si="8"/>
        <v>0.8431703648828506</v>
      </c>
      <c r="AB34" s="13">
        <f t="shared" si="8"/>
        <v>0.9693580377351314</v>
      </c>
      <c r="AC34" s="13">
        <f t="shared" si="8"/>
        <v>0.9999999999999999</v>
      </c>
      <c r="AD34" s="13"/>
      <c r="AE34" s="13"/>
      <c r="AF34" s="13"/>
    </row>
    <row r="35" spans="5:32" ht="11.25">
      <c r="E35" s="1">
        <v>3</v>
      </c>
      <c r="H35" s="7" t="s">
        <v>229</v>
      </c>
      <c r="I35" s="7"/>
      <c r="J35" s="7"/>
      <c r="K35" s="7"/>
      <c r="L35" s="7" t="s">
        <v>73</v>
      </c>
      <c r="M35" s="7">
        <f>M32</f>
        <v>0.03319177990522999</v>
      </c>
      <c r="N35" s="7">
        <f aca="true" t="shared" si="9" ref="N35:AE35">M35+N32</f>
        <v>0.46193354308240203</v>
      </c>
      <c r="O35" s="7">
        <f t="shared" si="9"/>
        <v>0.8957324025306972</v>
      </c>
      <c r="P35" s="7">
        <f t="shared" si="9"/>
        <v>1.160128047824337</v>
      </c>
      <c r="Q35" s="7">
        <f t="shared" si="9"/>
        <v>1.5138584808198423</v>
      </c>
      <c r="R35" s="7">
        <f t="shared" si="9"/>
        <v>1.9262251434436626</v>
      </c>
      <c r="S35" s="7">
        <f t="shared" si="9"/>
        <v>2.1728543752925935</v>
      </c>
      <c r="T35" s="7">
        <f t="shared" si="9"/>
        <v>2.4887122931184895</v>
      </c>
      <c r="U35" s="7">
        <f t="shared" si="9"/>
        <v>2.693142896276249</v>
      </c>
      <c r="V35" s="7">
        <f t="shared" si="9"/>
        <v>3.0829278984954307</v>
      </c>
      <c r="W35" s="7">
        <f t="shared" si="9"/>
        <v>3.337222938286779</v>
      </c>
      <c r="X35" s="7">
        <f t="shared" si="9"/>
        <v>3.7467716488240037</v>
      </c>
      <c r="Y35" s="7">
        <f t="shared" si="9"/>
        <v>3.978718725297933</v>
      </c>
      <c r="Z35" s="7">
        <f t="shared" si="9"/>
        <v>4.229761027724137</v>
      </c>
      <c r="AA35" s="7">
        <f t="shared" si="9"/>
        <v>4.502202918078924</v>
      </c>
      <c r="AB35" s="7">
        <f t="shared" si="9"/>
        <v>4.656421256380255</v>
      </c>
      <c r="AC35" s="7">
        <f t="shared" si="9"/>
        <v>6.023958277893255</v>
      </c>
      <c r="AD35" s="7">
        <f t="shared" si="9"/>
        <v>7.362518671403715</v>
      </c>
      <c r="AE35" s="7">
        <f t="shared" si="9"/>
        <v>8.362518671403716</v>
      </c>
      <c r="AF35" s="7"/>
    </row>
    <row r="36" spans="1:25" ht="12">
      <c r="A36" s="19"/>
      <c r="B36" s="20"/>
      <c r="E36" s="1">
        <v>4</v>
      </c>
      <c r="H36" s="7"/>
      <c r="I36" s="7"/>
      <c r="J36" s="7"/>
      <c r="K36" s="7"/>
      <c r="L36" s="7"/>
      <c r="M36" s="7"/>
      <c r="N36" s="7"/>
      <c r="O36" s="7"/>
      <c r="P36" s="7"/>
      <c r="Q36" s="7"/>
      <c r="R36" s="7"/>
      <c r="S36" s="7"/>
      <c r="T36" s="7"/>
      <c r="U36" s="7"/>
      <c r="V36" s="7"/>
      <c r="W36" s="7"/>
      <c r="X36" s="7"/>
      <c r="Y36" s="7"/>
    </row>
    <row r="37" spans="1:25" ht="12">
      <c r="A37" s="2" t="s">
        <v>130</v>
      </c>
      <c r="B37" s="2" t="s">
        <v>311</v>
      </c>
      <c r="H37" s="4" t="s">
        <v>231</v>
      </c>
      <c r="J37" s="1"/>
      <c r="K37" s="1"/>
      <c r="L37" s="1"/>
      <c r="M37" s="1"/>
      <c r="N37" s="1"/>
      <c r="O37" s="1"/>
      <c r="P37" s="1"/>
      <c r="Q37" s="1"/>
      <c r="R37" s="1"/>
      <c r="S37" s="1"/>
      <c r="T37" s="1"/>
      <c r="U37" s="1"/>
      <c r="V37" s="1"/>
      <c r="W37" s="1"/>
      <c r="X37" s="1"/>
      <c r="Y37" s="1"/>
    </row>
    <row r="38" spans="1:25" ht="12">
      <c r="A38" s="8" t="s">
        <v>23</v>
      </c>
      <c r="B38" s="8"/>
      <c r="C38" s="1">
        <v>85</v>
      </c>
      <c r="D38" s="1">
        <v>0.48</v>
      </c>
      <c r="E38" s="1">
        <v>1</v>
      </c>
      <c r="H38" s="1"/>
      <c r="I38" s="1"/>
      <c r="J38" s="1"/>
      <c r="K38" s="1"/>
      <c r="L38" s="1"/>
      <c r="M38" s="1"/>
      <c r="N38" s="1"/>
      <c r="O38" s="1"/>
      <c r="P38" s="1"/>
      <c r="Q38" s="1"/>
      <c r="R38" s="1"/>
      <c r="S38" s="1"/>
      <c r="T38" s="1"/>
      <c r="U38" s="1"/>
      <c r="V38" s="1"/>
      <c r="W38" s="1"/>
      <c r="X38" s="1"/>
      <c r="Y38" s="1"/>
    </row>
    <row r="39" spans="1:9" ht="12">
      <c r="A39" s="8" t="s">
        <v>24</v>
      </c>
      <c r="B39" s="8"/>
      <c r="D39" s="8"/>
      <c r="E39" s="1">
        <v>2</v>
      </c>
      <c r="I39" s="17"/>
    </row>
    <row r="40" spans="4:5" ht="12">
      <c r="D40" s="8"/>
      <c r="E40" s="1">
        <v>3</v>
      </c>
    </row>
    <row r="41" spans="2:5" ht="12">
      <c r="B41" s="2" t="s">
        <v>207</v>
      </c>
      <c r="E41" s="1">
        <v>4</v>
      </c>
    </row>
    <row r="42" spans="3:5" ht="11.25">
      <c r="C42" s="1">
        <v>86</v>
      </c>
      <c r="D42" s="1">
        <v>0.49</v>
      </c>
      <c r="E42" s="1">
        <v>1</v>
      </c>
    </row>
    <row r="43" ht="11.25">
      <c r="E43" s="1">
        <v>2</v>
      </c>
    </row>
    <row r="44" ht="11.25">
      <c r="E44" s="1">
        <v>3</v>
      </c>
    </row>
    <row r="45" spans="2:5" ht="12">
      <c r="B45" s="2" t="s">
        <v>310</v>
      </c>
      <c r="E45" s="1">
        <v>4</v>
      </c>
    </row>
    <row r="46" spans="3:5" ht="11.25">
      <c r="C46" s="1">
        <v>84</v>
      </c>
      <c r="D46" s="1">
        <v>0.48</v>
      </c>
      <c r="E46" s="1">
        <v>1</v>
      </c>
    </row>
    <row r="47" ht="11.25">
      <c r="E47" s="1">
        <v>2</v>
      </c>
    </row>
    <row r="48" ht="11.25">
      <c r="E48" s="1">
        <v>3</v>
      </c>
    </row>
    <row r="49" ht="12">
      <c r="B49" s="2" t="s">
        <v>326</v>
      </c>
    </row>
    <row r="50" spans="3:5" ht="11.25">
      <c r="C50" s="1">
        <v>83</v>
      </c>
      <c r="D50" s="1">
        <v>0.49</v>
      </c>
      <c r="E50" s="1">
        <v>1</v>
      </c>
    </row>
    <row r="51" ht="11.25">
      <c r="E51" s="1">
        <v>2</v>
      </c>
    </row>
    <row r="52" ht="11.25">
      <c r="E52" s="1">
        <v>3</v>
      </c>
    </row>
    <row r="53" spans="2:5" ht="12">
      <c r="B53" s="8" t="s">
        <v>329</v>
      </c>
      <c r="E53" s="1">
        <v>4</v>
      </c>
    </row>
    <row r="54" spans="3:5" ht="11.25">
      <c r="C54" s="1">
        <v>84</v>
      </c>
      <c r="D54" s="1">
        <v>0.48</v>
      </c>
      <c r="E54" s="1">
        <v>1</v>
      </c>
    </row>
    <row r="55" ht="11.25">
      <c r="E55" s="1">
        <v>2</v>
      </c>
    </row>
    <row r="56" ht="11.25">
      <c r="E56" s="1">
        <v>3</v>
      </c>
    </row>
    <row r="57" ht="12">
      <c r="B57" s="2" t="s">
        <v>327</v>
      </c>
    </row>
    <row r="58" spans="1:5" ht="12">
      <c r="A58" s="8" t="s">
        <v>152</v>
      </c>
      <c r="B58" s="8"/>
      <c r="C58" s="1">
        <v>85</v>
      </c>
      <c r="D58" s="1">
        <v>0.48</v>
      </c>
      <c r="E58" s="1">
        <v>1</v>
      </c>
    </row>
    <row r="59" spans="1:5" ht="12">
      <c r="A59" s="8" t="s">
        <v>153</v>
      </c>
      <c r="B59" s="8"/>
      <c r="D59" s="8"/>
      <c r="E59" s="1">
        <v>2</v>
      </c>
    </row>
    <row r="60" spans="4:5" ht="12">
      <c r="D60" s="8"/>
      <c r="E60" s="1">
        <v>3</v>
      </c>
    </row>
    <row r="61" spans="2:5" ht="12">
      <c r="B61" s="2" t="s">
        <v>271</v>
      </c>
      <c r="E61" s="1">
        <v>4</v>
      </c>
    </row>
    <row r="62" spans="3:5" ht="11.25">
      <c r="C62" s="1">
        <v>84</v>
      </c>
      <c r="D62" s="1">
        <v>0.5</v>
      </c>
      <c r="E62" s="1">
        <v>1</v>
      </c>
    </row>
    <row r="63" ht="11.25">
      <c r="E63" s="1">
        <v>2</v>
      </c>
    </row>
    <row r="64" ht="11.25">
      <c r="E64" s="1">
        <v>3</v>
      </c>
    </row>
    <row r="65" ht="11.25">
      <c r="E65" s="1">
        <v>4</v>
      </c>
    </row>
    <row r="66" spans="2:5" ht="12">
      <c r="B66" s="2" t="s">
        <v>320</v>
      </c>
      <c r="C66" s="1">
        <v>84</v>
      </c>
      <c r="E66" s="1">
        <v>5</v>
      </c>
    </row>
    <row r="67" spans="4:5" ht="11.25">
      <c r="D67" s="1">
        <v>0.5</v>
      </c>
      <c r="E67" s="1">
        <v>1</v>
      </c>
    </row>
    <row r="68" ht="11.25">
      <c r="E68" s="1">
        <v>2</v>
      </c>
    </row>
    <row r="69" ht="11.25">
      <c r="E69" s="1">
        <v>3</v>
      </c>
    </row>
    <row r="70" spans="1:5" ht="11.25">
      <c r="A70" s="5"/>
      <c r="B70" s="5"/>
      <c r="E70" s="1">
        <v>4</v>
      </c>
    </row>
    <row r="72" ht="12">
      <c r="A72" s="2"/>
    </row>
    <row r="114" ht="12">
      <c r="A114" s="2"/>
    </row>
    <row r="124" ht="12">
      <c r="A124" s="2"/>
    </row>
    <row r="165" ht="12">
      <c r="A165" s="2"/>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F164"/>
  <sheetViews>
    <sheetView workbookViewId="0" topLeftCell="A1">
      <pane xSplit="5" ySplit="1" topLeftCell="F37" activePane="bottomRight" state="frozen"/>
      <selection pane="topLeft" activeCell="A1" sqref="A1"/>
      <selection pane="topRight" activeCell="D1" sqref="D1"/>
      <selection pane="bottomLeft" activeCell="A2" sqref="A2"/>
      <selection pane="bottomRight" activeCell="B15" sqref="B15"/>
    </sheetView>
  </sheetViews>
  <sheetFormatPr defaultColWidth="9.00390625" defaultRowHeight="14.25"/>
  <cols>
    <col min="1" max="1" width="5.75390625" style="1" customWidth="1"/>
    <col min="2" max="2" width="5.50390625" style="1" customWidth="1"/>
    <col min="3" max="4" width="5.375" style="1" customWidth="1"/>
    <col min="5" max="7" width="5.375" style="3" customWidth="1"/>
    <col min="8" max="8" width="4.875" style="3" customWidth="1"/>
    <col min="9" max="9" width="7.75390625" style="3" customWidth="1"/>
    <col min="10" max="10" width="4.875" style="3" customWidth="1"/>
    <col min="11" max="11" width="11.625" style="3" customWidth="1"/>
    <col min="12" max="33" width="4.875" style="3" customWidth="1"/>
    <col min="34" max="35" width="4.50390625" style="3" customWidth="1"/>
    <col min="36" max="16384" width="6.50390625" style="3" customWidth="1"/>
  </cols>
  <sheetData>
    <row r="1" spans="1:5" ht="24">
      <c r="A1" s="18" t="s">
        <v>195</v>
      </c>
      <c r="B1" s="22" t="s">
        <v>196</v>
      </c>
      <c r="C1" s="19" t="s">
        <v>197</v>
      </c>
      <c r="D1" s="19" t="s">
        <v>199</v>
      </c>
      <c r="E1" s="2" t="s">
        <v>198</v>
      </c>
    </row>
    <row r="2" ht="11.25">
      <c r="A2" s="15"/>
    </row>
    <row r="3" spans="1:32" ht="12">
      <c r="A3" s="2" t="s">
        <v>277</v>
      </c>
      <c r="B3" s="2" t="s">
        <v>245</v>
      </c>
      <c r="C3" s="1">
        <v>84</v>
      </c>
      <c r="D3" s="1">
        <v>0.48</v>
      </c>
      <c r="E3" s="3">
        <v>4.1</v>
      </c>
      <c r="H3" s="1"/>
      <c r="I3" s="1"/>
      <c r="J3" s="1"/>
      <c r="K3" s="1"/>
      <c r="L3" s="1"/>
      <c r="M3" s="1"/>
      <c r="N3" s="1"/>
      <c r="O3" s="1"/>
      <c r="P3" s="1"/>
      <c r="Q3" s="1"/>
      <c r="R3" s="1"/>
      <c r="S3" s="1"/>
      <c r="T3" s="1"/>
      <c r="U3" s="1"/>
      <c r="V3" s="1"/>
      <c r="W3" s="1"/>
      <c r="X3" s="1"/>
      <c r="Y3" s="1"/>
      <c r="Z3" s="1"/>
      <c r="AA3" s="1"/>
      <c r="AB3" s="1"/>
      <c r="AC3" s="1"/>
      <c r="AD3" s="1"/>
      <c r="AE3" s="1"/>
      <c r="AF3" s="1"/>
    </row>
    <row r="4" spans="1:32" ht="12">
      <c r="A4" s="2"/>
      <c r="E4" s="3">
        <v>9</v>
      </c>
      <c r="H4" s="7"/>
      <c r="I4" s="7"/>
      <c r="J4" s="7"/>
      <c r="K4" s="7"/>
      <c r="L4" s="7"/>
      <c r="M4" s="7"/>
      <c r="N4" s="7"/>
      <c r="O4" s="7"/>
      <c r="P4" s="7"/>
      <c r="Q4" s="7"/>
      <c r="R4" s="7"/>
      <c r="S4" s="7"/>
      <c r="T4" s="7"/>
      <c r="U4" s="7"/>
      <c r="V4" s="7"/>
      <c r="W4" s="7"/>
      <c r="X4" s="7"/>
      <c r="Y4" s="7"/>
      <c r="Z4" s="7"/>
      <c r="AA4" s="7"/>
      <c r="AB4" s="7"/>
      <c r="AC4" s="7"/>
      <c r="AD4" s="7"/>
      <c r="AE4" s="7"/>
      <c r="AF4" s="7"/>
    </row>
    <row r="5" spans="5:32" ht="11.25">
      <c r="E5" s="3">
        <v>15</v>
      </c>
      <c r="H5" s="7"/>
      <c r="I5" s="7"/>
      <c r="J5" s="7"/>
      <c r="K5" s="7"/>
      <c r="L5" s="7"/>
      <c r="M5" s="7"/>
      <c r="N5" s="7"/>
      <c r="O5" s="7"/>
      <c r="P5" s="7"/>
      <c r="Q5" s="7"/>
      <c r="R5" s="7"/>
      <c r="S5" s="7"/>
      <c r="T5" s="7"/>
      <c r="U5" s="7"/>
      <c r="V5" s="7"/>
      <c r="W5" s="7"/>
      <c r="X5" s="7"/>
      <c r="Y5" s="7"/>
      <c r="Z5" s="7"/>
      <c r="AA5" s="7"/>
      <c r="AB5" s="7"/>
      <c r="AC5" s="7"/>
      <c r="AD5" s="7"/>
      <c r="AE5" s="7"/>
      <c r="AF5" s="7"/>
    </row>
    <row r="6" spans="5:32" ht="11.25">
      <c r="E6" s="3">
        <v>15</v>
      </c>
      <c r="H6" s="7"/>
      <c r="I6" s="7" t="s">
        <v>74</v>
      </c>
      <c r="J6" s="7">
        <v>9507</v>
      </c>
      <c r="K6" s="7"/>
      <c r="L6" s="7"/>
      <c r="M6" s="7"/>
      <c r="N6" s="7"/>
      <c r="O6" s="7"/>
      <c r="P6" s="7"/>
      <c r="Q6" s="7"/>
      <c r="R6" s="7"/>
      <c r="S6" s="7"/>
      <c r="T6" s="7"/>
      <c r="U6" s="7"/>
      <c r="V6" s="7"/>
      <c r="W6" s="7"/>
      <c r="X6" s="7"/>
      <c r="Y6" s="7"/>
      <c r="Z6" s="7"/>
      <c r="AA6" s="7"/>
      <c r="AB6" s="7"/>
      <c r="AC6" s="7"/>
      <c r="AD6" s="7"/>
      <c r="AE6" s="7"/>
      <c r="AF6" s="7"/>
    </row>
    <row r="7" spans="2:32" ht="12">
      <c r="B7" s="2" t="s">
        <v>321</v>
      </c>
      <c r="C7" s="1">
        <v>85</v>
      </c>
      <c r="D7" s="1">
        <v>0.47</v>
      </c>
      <c r="E7" s="3">
        <v>6</v>
      </c>
      <c r="H7" s="7"/>
      <c r="I7" s="7"/>
      <c r="J7" s="7"/>
      <c r="K7" s="7"/>
      <c r="L7" s="7"/>
      <c r="M7" s="7"/>
      <c r="N7" s="7"/>
      <c r="O7" s="7"/>
      <c r="P7" s="7"/>
      <c r="Q7" s="7"/>
      <c r="R7" s="7"/>
      <c r="S7" s="7"/>
      <c r="T7" s="7"/>
      <c r="U7" s="7"/>
      <c r="V7" s="7"/>
      <c r="W7" s="7"/>
      <c r="X7" s="7"/>
      <c r="Y7" s="7"/>
      <c r="Z7" s="7"/>
      <c r="AA7" s="7"/>
      <c r="AB7" s="7"/>
      <c r="AC7" s="7"/>
      <c r="AD7" s="7"/>
      <c r="AE7" s="7"/>
      <c r="AF7" s="7"/>
    </row>
    <row r="8" spans="5:32" ht="11.25">
      <c r="E8" s="3">
        <v>15</v>
      </c>
      <c r="H8" s="7"/>
      <c r="I8" s="7" t="s">
        <v>42</v>
      </c>
      <c r="J8" s="7" t="s">
        <v>43</v>
      </c>
      <c r="K8" s="7" t="s">
        <v>44</v>
      </c>
      <c r="L8" s="7" t="s">
        <v>45</v>
      </c>
      <c r="M8" s="7"/>
      <c r="N8" s="7"/>
      <c r="O8" s="7"/>
      <c r="P8" s="7"/>
      <c r="Q8" s="7"/>
      <c r="R8" s="7"/>
      <c r="S8" s="7"/>
      <c r="T8" s="7"/>
      <c r="U8" s="7"/>
      <c r="V8" s="7"/>
      <c r="W8" s="7"/>
      <c r="X8" s="7"/>
      <c r="Y8" s="7"/>
      <c r="Z8" s="7"/>
      <c r="AA8" s="7"/>
      <c r="AB8" s="7"/>
      <c r="AC8" s="7"/>
      <c r="AD8" s="7"/>
      <c r="AE8" s="7"/>
      <c r="AF8" s="7"/>
    </row>
    <row r="9" spans="5:32" ht="12">
      <c r="E9" s="3">
        <v>20.6</v>
      </c>
      <c r="H9" s="7"/>
      <c r="I9" s="7"/>
      <c r="J9" s="7"/>
      <c r="K9" s="7"/>
      <c r="L9" s="13" t="s">
        <v>203</v>
      </c>
      <c r="M9" s="7"/>
      <c r="N9" s="7"/>
      <c r="O9" s="7"/>
      <c r="P9" s="7"/>
      <c r="Q9" s="7"/>
      <c r="R9" s="7"/>
      <c r="S9" s="7"/>
      <c r="T9" s="7"/>
      <c r="U9" s="7"/>
      <c r="V9" s="7"/>
      <c r="W9" s="7"/>
      <c r="X9" s="7"/>
      <c r="Y9" s="7"/>
      <c r="Z9" s="7"/>
      <c r="AA9" s="7"/>
      <c r="AB9" s="7"/>
      <c r="AC9" s="7"/>
      <c r="AD9" s="7"/>
      <c r="AE9" s="7"/>
      <c r="AF9" s="7"/>
    </row>
    <row r="10" spans="5:32" ht="11.25">
      <c r="E10" s="3">
        <v>20.6</v>
      </c>
      <c r="H10" s="7"/>
      <c r="I10" s="10">
        <v>37005</v>
      </c>
      <c r="J10" s="7">
        <v>13</v>
      </c>
      <c r="K10" s="7">
        <v>55</v>
      </c>
      <c r="L10" s="7">
        <v>49</v>
      </c>
      <c r="M10" s="7"/>
      <c r="N10" s="7"/>
      <c r="O10" s="7"/>
      <c r="P10" s="7"/>
      <c r="Q10" s="7"/>
      <c r="R10" s="7"/>
      <c r="S10" s="7"/>
      <c r="T10" s="7"/>
      <c r="U10" s="7"/>
      <c r="V10" s="7"/>
      <c r="W10" s="7"/>
      <c r="X10" s="7"/>
      <c r="Y10" s="7"/>
      <c r="Z10" s="7"/>
      <c r="AA10" s="7"/>
      <c r="AB10" s="7"/>
      <c r="AC10" s="7"/>
      <c r="AD10" s="7"/>
      <c r="AE10" s="7"/>
      <c r="AF10" s="7"/>
    </row>
    <row r="11" spans="2:25" ht="12">
      <c r="B11" s="2" t="s">
        <v>325</v>
      </c>
      <c r="C11" s="1">
        <v>85</v>
      </c>
      <c r="D11" s="1">
        <v>0.47</v>
      </c>
      <c r="E11" s="3">
        <v>2.5</v>
      </c>
      <c r="H11" s="6"/>
      <c r="I11" s="6"/>
      <c r="J11" s="6"/>
      <c r="K11" s="6"/>
      <c r="L11" s="6"/>
      <c r="M11" s="6" t="s">
        <v>75</v>
      </c>
      <c r="N11" s="6" t="s">
        <v>76</v>
      </c>
      <c r="O11" s="6" t="s">
        <v>77</v>
      </c>
      <c r="P11" s="6" t="s">
        <v>78</v>
      </c>
      <c r="Q11" s="6" t="s">
        <v>79</v>
      </c>
      <c r="R11" s="6" t="s">
        <v>80</v>
      </c>
      <c r="S11" s="6" t="s">
        <v>81</v>
      </c>
      <c r="T11" s="6" t="s">
        <v>82</v>
      </c>
      <c r="U11" s="6" t="s">
        <v>83</v>
      </c>
      <c r="V11" s="6" t="s">
        <v>84</v>
      </c>
      <c r="W11" s="6" t="s">
        <v>85</v>
      </c>
      <c r="X11" s="6" t="s">
        <v>86</v>
      </c>
      <c r="Y11" s="6"/>
    </row>
    <row r="12" spans="5:23" ht="12">
      <c r="E12" s="3">
        <v>6</v>
      </c>
      <c r="M12" s="4" t="s">
        <v>240</v>
      </c>
      <c r="W12" s="4" t="s">
        <v>241</v>
      </c>
    </row>
    <row r="13" spans="5:23" ht="12">
      <c r="E13" s="3">
        <v>12</v>
      </c>
      <c r="H13" s="23" t="s">
        <v>210</v>
      </c>
      <c r="L13" s="3" t="s">
        <v>96</v>
      </c>
      <c r="M13" s="3">
        <v>8.60480053846154</v>
      </c>
      <c r="N13" s="3">
        <v>5.5211161384615375</v>
      </c>
      <c r="O13" s="3">
        <v>7.588662200000001</v>
      </c>
      <c r="P13" s="3">
        <v>9.198387538461539</v>
      </c>
      <c r="Q13" s="3">
        <v>6.8887865</v>
      </c>
      <c r="R13" s="3">
        <v>2.118521746153846</v>
      </c>
      <c r="S13" s="3">
        <v>0.6097238692307693</v>
      </c>
      <c r="T13" s="3">
        <v>0.08836830769230769</v>
      </c>
      <c r="U13" s="3">
        <v>0</v>
      </c>
      <c r="V13" s="3">
        <v>0</v>
      </c>
      <c r="W13" s="3">
        <f>SUM(M13:V13)</f>
        <v>40.61836683846154</v>
      </c>
    </row>
    <row r="14" spans="5:23" ht="12">
      <c r="E14" s="3">
        <v>12</v>
      </c>
      <c r="H14" s="23" t="s">
        <v>211</v>
      </c>
      <c r="L14" s="3" t="s">
        <v>88</v>
      </c>
      <c r="M14" s="3">
        <f>M13/$W$13</f>
        <v>0.21184506439371786</v>
      </c>
      <c r="N14" s="3">
        <f aca="true" t="shared" si="0" ref="N14:V14">N13/$W$13</f>
        <v>0.1359265910522427</v>
      </c>
      <c r="O14" s="3">
        <f t="shared" si="0"/>
        <v>0.1868283436943677</v>
      </c>
      <c r="P14" s="3">
        <f t="shared" si="0"/>
        <v>0.22645882280406174</v>
      </c>
      <c r="Q14" s="3">
        <f t="shared" si="0"/>
        <v>0.16959782079364666</v>
      </c>
      <c r="R14" s="3">
        <f t="shared" si="0"/>
        <v>0.05215674363716213</v>
      </c>
      <c r="S14" s="3">
        <f t="shared" si="0"/>
        <v>0.015011038519978643</v>
      </c>
      <c r="T14" s="3">
        <f t="shared" si="0"/>
        <v>0.0021755751048225733</v>
      </c>
      <c r="U14" s="3">
        <f t="shared" si="0"/>
        <v>0</v>
      </c>
      <c r="V14" s="3">
        <f t="shared" si="0"/>
        <v>0</v>
      </c>
      <c r="W14" s="3">
        <f aca="true" t="shared" si="1" ref="W14:W19">SUM(M14:V14)</f>
        <v>1</v>
      </c>
    </row>
    <row r="15" spans="2:23" ht="12">
      <c r="B15" s="2" t="s">
        <v>326</v>
      </c>
      <c r="C15" s="1">
        <v>83</v>
      </c>
      <c r="D15" s="1">
        <v>0.46</v>
      </c>
      <c r="E15" s="3">
        <v>4.8</v>
      </c>
      <c r="H15" s="23" t="s">
        <v>212</v>
      </c>
      <c r="L15" s="3" t="s">
        <v>94</v>
      </c>
      <c r="M15" s="3">
        <v>22.4440005</v>
      </c>
      <c r="N15" s="3">
        <v>49.031580999999996</v>
      </c>
      <c r="O15" s="3">
        <v>84.37206230769233</v>
      </c>
      <c r="P15" s="3">
        <v>47.743964</v>
      </c>
      <c r="Q15" s="3">
        <v>43.53353807692308</v>
      </c>
      <c r="R15" s="3">
        <v>20.52393692307692</v>
      </c>
      <c r="S15" s="3">
        <v>11.770045384615383</v>
      </c>
      <c r="T15" s="3">
        <v>4.615396923076923</v>
      </c>
      <c r="U15" s="3">
        <v>0</v>
      </c>
      <c r="V15" s="3">
        <v>0</v>
      </c>
      <c r="W15" s="3">
        <f t="shared" si="1"/>
        <v>284.03452511538467</v>
      </c>
    </row>
    <row r="16" spans="5:23" ht="12">
      <c r="E16" s="3">
        <v>9</v>
      </c>
      <c r="H16" s="23" t="s">
        <v>213</v>
      </c>
      <c r="L16" s="3" t="s">
        <v>95</v>
      </c>
      <c r="M16" s="3">
        <v>22.185898230769233</v>
      </c>
      <c r="N16" s="3">
        <v>50.02564153846154</v>
      </c>
      <c r="O16" s="3">
        <v>64.7923076923077</v>
      </c>
      <c r="P16" s="3">
        <v>56.92179384615384</v>
      </c>
      <c r="Q16" s="3">
        <v>50.94835153846153</v>
      </c>
      <c r="R16" s="3">
        <v>22.661538461538463</v>
      </c>
      <c r="S16" s="3">
        <v>11.692307692307692</v>
      </c>
      <c r="T16" s="3">
        <v>4.615384615384615</v>
      </c>
      <c r="U16" s="3">
        <v>0</v>
      </c>
      <c r="V16" s="3">
        <v>0</v>
      </c>
      <c r="W16" s="3">
        <f t="shared" si="1"/>
        <v>283.8432236153846</v>
      </c>
    </row>
    <row r="17" spans="5:23" ht="12">
      <c r="E17" s="3">
        <v>12</v>
      </c>
      <c r="H17" s="23" t="s">
        <v>214</v>
      </c>
      <c r="L17" s="3" t="s">
        <v>89</v>
      </c>
      <c r="M17" s="3">
        <f>3.1415926*0.475*10</f>
        <v>14.92256485</v>
      </c>
      <c r="N17" s="3">
        <f aca="true" t="shared" si="2" ref="N17:S17">3.1415926*0.475*5</f>
        <v>7.461282425</v>
      </c>
      <c r="O17" s="3">
        <f t="shared" si="2"/>
        <v>7.461282425</v>
      </c>
      <c r="P17" s="3">
        <f t="shared" si="2"/>
        <v>7.461282425</v>
      </c>
      <c r="Q17" s="3">
        <f t="shared" si="2"/>
        <v>7.461282425</v>
      </c>
      <c r="R17" s="3">
        <f t="shared" si="2"/>
        <v>7.461282425</v>
      </c>
      <c r="S17" s="3">
        <f t="shared" si="2"/>
        <v>7.461282425</v>
      </c>
      <c r="T17" s="3">
        <f>3.1415926*0.475*9</f>
        <v>13.430308365</v>
      </c>
      <c r="U17" s="3">
        <v>0</v>
      </c>
      <c r="V17" s="3">
        <v>0</v>
      </c>
      <c r="W17" s="3">
        <f t="shared" si="1"/>
        <v>73.120567765</v>
      </c>
    </row>
    <row r="18" spans="5:23" ht="12">
      <c r="E18" s="3">
        <v>12</v>
      </c>
      <c r="H18" s="23" t="s">
        <v>215</v>
      </c>
      <c r="L18" s="3" t="s">
        <v>90</v>
      </c>
      <c r="M18" s="3">
        <f aca="true" t="shared" si="3" ref="M18:W18">M17/$W$17</f>
        <v>0.20408163265306123</v>
      </c>
      <c r="N18" s="3">
        <f t="shared" si="3"/>
        <v>0.10204081632653061</v>
      </c>
      <c r="O18" s="3">
        <f t="shared" si="3"/>
        <v>0.10204081632653061</v>
      </c>
      <c r="P18" s="3">
        <f t="shared" si="3"/>
        <v>0.10204081632653061</v>
      </c>
      <c r="Q18" s="3">
        <f t="shared" si="3"/>
        <v>0.10204081632653061</v>
      </c>
      <c r="R18" s="3">
        <f t="shared" si="3"/>
        <v>0.10204081632653061</v>
      </c>
      <c r="S18" s="3">
        <f t="shared" si="3"/>
        <v>0.10204081632653061</v>
      </c>
      <c r="T18" s="3">
        <f t="shared" si="3"/>
        <v>0.18367346938775508</v>
      </c>
      <c r="U18" s="3">
        <f t="shared" si="3"/>
        <v>0</v>
      </c>
      <c r="V18" s="3">
        <f t="shared" si="3"/>
        <v>0</v>
      </c>
      <c r="W18" s="3">
        <f t="shared" si="3"/>
        <v>1</v>
      </c>
    </row>
    <row r="19" spans="2:23" ht="12">
      <c r="B19" s="2" t="s">
        <v>301</v>
      </c>
      <c r="C19" s="1">
        <v>84</v>
      </c>
      <c r="D19" s="1">
        <v>0.47</v>
      </c>
      <c r="E19" s="3">
        <v>3</v>
      </c>
      <c r="H19" s="23" t="s">
        <v>216</v>
      </c>
      <c r="L19" s="3" t="s">
        <v>91</v>
      </c>
      <c r="M19" s="3">
        <v>0</v>
      </c>
      <c r="N19" s="3">
        <v>0</v>
      </c>
      <c r="O19" s="3">
        <v>0</v>
      </c>
      <c r="P19" s="3">
        <v>0</v>
      </c>
      <c r="Q19" s="3">
        <v>0</v>
      </c>
      <c r="R19" s="3">
        <v>0</v>
      </c>
      <c r="S19" s="3">
        <v>0</v>
      </c>
      <c r="T19" s="3">
        <v>0</v>
      </c>
      <c r="U19" s="3">
        <v>0</v>
      </c>
      <c r="V19" s="3">
        <v>0</v>
      </c>
      <c r="W19" s="3">
        <f t="shared" si="1"/>
        <v>0</v>
      </c>
    </row>
    <row r="20" spans="5:23" ht="12">
      <c r="E20" s="3">
        <v>5.5</v>
      </c>
      <c r="H20" s="23" t="s">
        <v>217</v>
      </c>
      <c r="L20" s="3" t="s">
        <v>92</v>
      </c>
      <c r="M20" s="3">
        <v>0</v>
      </c>
      <c r="N20" s="3">
        <v>0</v>
      </c>
      <c r="O20" s="3">
        <v>0</v>
      </c>
      <c r="P20" s="3">
        <v>0</v>
      </c>
      <c r="Q20" s="3">
        <v>0</v>
      </c>
      <c r="R20" s="3">
        <v>0</v>
      </c>
      <c r="S20" s="3">
        <v>0</v>
      </c>
      <c r="T20" s="3">
        <v>0</v>
      </c>
      <c r="U20" s="3">
        <v>0</v>
      </c>
      <c r="V20" s="3">
        <v>0</v>
      </c>
      <c r="W20" s="3">
        <v>0</v>
      </c>
    </row>
    <row r="21" spans="5:23" ht="12">
      <c r="E21" s="3">
        <v>11.5</v>
      </c>
      <c r="H21" s="23" t="s">
        <v>218</v>
      </c>
      <c r="L21" s="3" t="s">
        <v>93</v>
      </c>
      <c r="M21" s="3">
        <f>M13+M17+M19</f>
        <v>23.52736538846154</v>
      </c>
      <c r="N21" s="3">
        <f aca="true" t="shared" si="4" ref="N21:W21">N13+N17+N19</f>
        <v>12.982398563461537</v>
      </c>
      <c r="O21" s="3">
        <f t="shared" si="4"/>
        <v>15.049944625000002</v>
      </c>
      <c r="P21" s="3">
        <f t="shared" si="4"/>
        <v>16.65966996346154</v>
      </c>
      <c r="Q21" s="3">
        <f t="shared" si="4"/>
        <v>14.350068925</v>
      </c>
      <c r="R21" s="3">
        <f>R13+R17+R19</f>
        <v>9.579804171153846</v>
      </c>
      <c r="S21" s="3">
        <f t="shared" si="4"/>
        <v>8.07100629423077</v>
      </c>
      <c r="T21" s="3">
        <f t="shared" si="4"/>
        <v>13.518676672692308</v>
      </c>
      <c r="U21" s="3">
        <f t="shared" si="4"/>
        <v>0</v>
      </c>
      <c r="V21" s="3">
        <f t="shared" si="4"/>
        <v>0</v>
      </c>
      <c r="W21" s="3">
        <f t="shared" si="4"/>
        <v>113.73893460346154</v>
      </c>
    </row>
    <row r="22" spans="5:23" ht="12">
      <c r="E22" s="3">
        <v>11.5</v>
      </c>
      <c r="H22" s="23" t="s">
        <v>219</v>
      </c>
      <c r="L22" s="3" t="s">
        <v>93</v>
      </c>
      <c r="M22" s="3">
        <f>M21/$W$21</f>
        <v>0.20685410383425118</v>
      </c>
      <c r="N22" s="3">
        <f aca="true" t="shared" si="5" ref="N22:W22">N21/$W$21</f>
        <v>0.11414207991945116</v>
      </c>
      <c r="O22" s="3">
        <f t="shared" si="5"/>
        <v>0.13232007735495327</v>
      </c>
      <c r="P22" s="3">
        <f t="shared" si="5"/>
        <v>0.1464728856617452</v>
      </c>
      <c r="Q22" s="3">
        <f t="shared" si="5"/>
        <v>0.12616672536128423</v>
      </c>
      <c r="R22" s="3">
        <f t="shared" si="5"/>
        <v>0.08422625202665028</v>
      </c>
      <c r="S22" s="3">
        <f t="shared" si="5"/>
        <v>0.07096080442787212</v>
      </c>
      <c r="T22" s="3">
        <f t="shared" si="5"/>
        <v>0.11885707141379254</v>
      </c>
      <c r="U22" s="3">
        <f t="shared" si="5"/>
        <v>0</v>
      </c>
      <c r="V22" s="3">
        <f t="shared" si="5"/>
        <v>0</v>
      </c>
      <c r="W22" s="3">
        <f t="shared" si="5"/>
        <v>1</v>
      </c>
    </row>
    <row r="23" spans="2:32" ht="12">
      <c r="B23" s="2" t="s">
        <v>298</v>
      </c>
      <c r="C23" s="1">
        <v>82</v>
      </c>
      <c r="D23" s="1">
        <v>0.48</v>
      </c>
      <c r="E23" s="3">
        <v>4.5</v>
      </c>
      <c r="H23" s="7"/>
      <c r="I23" s="7"/>
      <c r="J23" s="7"/>
      <c r="K23" s="7"/>
      <c r="L23" s="7" t="s">
        <v>46</v>
      </c>
      <c r="M23" s="7" t="s">
        <v>47</v>
      </c>
      <c r="N23" s="11">
        <v>37021</v>
      </c>
      <c r="O23" s="11">
        <v>37179</v>
      </c>
      <c r="P23" s="7" t="s">
        <v>48</v>
      </c>
      <c r="Q23" s="7" t="s">
        <v>49</v>
      </c>
      <c r="R23" s="7" t="s">
        <v>50</v>
      </c>
      <c r="S23" s="7" t="s">
        <v>51</v>
      </c>
      <c r="T23" s="7" t="s">
        <v>52</v>
      </c>
      <c r="U23" s="7" t="s">
        <v>53</v>
      </c>
      <c r="V23" s="7" t="s">
        <v>54</v>
      </c>
      <c r="W23" s="7" t="s">
        <v>55</v>
      </c>
      <c r="X23" s="7" t="s">
        <v>56</v>
      </c>
      <c r="Y23" s="7" t="s">
        <v>57</v>
      </c>
      <c r="Z23" s="7" t="s">
        <v>58</v>
      </c>
      <c r="AA23" s="7" t="s">
        <v>59</v>
      </c>
      <c r="AB23" s="7" t="s">
        <v>60</v>
      </c>
      <c r="AC23" s="7" t="s">
        <v>61</v>
      </c>
      <c r="AD23" s="7" t="s">
        <v>62</v>
      </c>
      <c r="AE23" s="7" t="s">
        <v>63</v>
      </c>
      <c r="AF23" s="7"/>
    </row>
    <row r="24" spans="5:32" ht="12">
      <c r="E24" s="3">
        <v>10.5</v>
      </c>
      <c r="H24" s="7"/>
      <c r="I24" s="7"/>
      <c r="J24" s="7"/>
      <c r="K24" s="7"/>
      <c r="L24" s="13" t="s">
        <v>234</v>
      </c>
      <c r="M24" s="7"/>
      <c r="N24" s="12"/>
      <c r="O24" s="12"/>
      <c r="P24" s="7"/>
      <c r="Q24" s="7"/>
      <c r="R24" s="7"/>
      <c r="S24" s="7"/>
      <c r="T24" s="7"/>
      <c r="U24" s="7"/>
      <c r="V24" s="7"/>
      <c r="W24" s="7"/>
      <c r="X24" s="7"/>
      <c r="Y24" s="7"/>
      <c r="Z24" s="7"/>
      <c r="AA24" s="7"/>
      <c r="AB24" s="7"/>
      <c r="AC24" s="7"/>
      <c r="AD24" s="7"/>
      <c r="AE24" s="13" t="s">
        <v>242</v>
      </c>
      <c r="AF24" s="7"/>
    </row>
    <row r="25" spans="5:32" ht="12">
      <c r="E25" s="3">
        <v>14.5</v>
      </c>
      <c r="H25" s="13" t="s">
        <v>220</v>
      </c>
      <c r="I25" s="7"/>
      <c r="J25" s="7"/>
      <c r="K25" s="7"/>
      <c r="L25" s="7" t="s">
        <v>97</v>
      </c>
      <c r="M25" s="7">
        <v>2.942663923076923</v>
      </c>
      <c r="N25" s="7">
        <v>2.5947886153846156</v>
      </c>
      <c r="O25" s="7">
        <v>1.6384229230769232</v>
      </c>
      <c r="P25" s="7">
        <v>1.4857051538461539</v>
      </c>
      <c r="Q25" s="7">
        <v>1.1129769230769233</v>
      </c>
      <c r="R25" s="7">
        <v>1.5750192307692308</v>
      </c>
      <c r="S25" s="7">
        <v>2.204884615384615</v>
      </c>
      <c r="T25" s="7">
        <v>1.3855640769230768</v>
      </c>
      <c r="U25" s="7">
        <v>1.7037383846153844</v>
      </c>
      <c r="V25" s="7">
        <v>2.8064295384615385</v>
      </c>
      <c r="W25" s="7">
        <v>0.5874423846153847</v>
      </c>
      <c r="X25" s="7">
        <v>2.600086076923077</v>
      </c>
      <c r="Y25" s="7">
        <v>3.207196461538462</v>
      </c>
      <c r="Z25" s="7">
        <v>6.805231076923077</v>
      </c>
      <c r="AA25" s="7">
        <v>3.698019230769231</v>
      </c>
      <c r="AB25" s="7">
        <v>1.957538461538462</v>
      </c>
      <c r="AC25" s="7">
        <v>0.5053012307692307</v>
      </c>
      <c r="AD25" s="7">
        <v>1.1733205384615384</v>
      </c>
      <c r="AE25" s="7">
        <f>SUM(M25:AD25)</f>
        <v>39.98432884615386</v>
      </c>
      <c r="AF25" s="7"/>
    </row>
    <row r="26" spans="5:32" ht="10.5" customHeight="1">
      <c r="E26" s="3">
        <v>14.5</v>
      </c>
      <c r="H26" s="13" t="s">
        <v>221</v>
      </c>
      <c r="I26" s="7"/>
      <c r="J26" s="7"/>
      <c r="K26" s="7"/>
      <c r="L26" s="7" t="s">
        <v>64</v>
      </c>
      <c r="M26" s="7">
        <v>0</v>
      </c>
      <c r="N26" s="7">
        <v>0</v>
      </c>
      <c r="O26" s="7">
        <v>0</v>
      </c>
      <c r="P26" s="7">
        <v>0</v>
      </c>
      <c r="Q26" s="7">
        <v>0</v>
      </c>
      <c r="R26" s="7">
        <v>0</v>
      </c>
      <c r="S26" s="7">
        <v>0</v>
      </c>
      <c r="T26" s="7">
        <v>0</v>
      </c>
      <c r="U26" s="7">
        <v>0</v>
      </c>
      <c r="V26" s="7">
        <v>0</v>
      </c>
      <c r="W26" s="7">
        <v>0</v>
      </c>
      <c r="X26" s="7">
        <v>0</v>
      </c>
      <c r="Y26" s="7">
        <v>0</v>
      </c>
      <c r="Z26" s="7">
        <v>0</v>
      </c>
      <c r="AA26" s="7">
        <v>0</v>
      </c>
      <c r="AB26" s="7">
        <v>0</v>
      </c>
      <c r="AC26" s="7">
        <f>3.1415*0.475*32</f>
        <v>47.7508</v>
      </c>
      <c r="AD26" s="7">
        <v>0</v>
      </c>
      <c r="AE26" s="7">
        <f>SUM(M14:AD14)</f>
        <v>2</v>
      </c>
      <c r="AF26" s="7"/>
    </row>
    <row r="27" spans="8:32" ht="12">
      <c r="H27" s="13" t="s">
        <v>222</v>
      </c>
      <c r="I27" s="7"/>
      <c r="J27" s="7"/>
      <c r="K27" s="7"/>
      <c r="L27" s="7" t="s">
        <v>65</v>
      </c>
      <c r="M27" s="7">
        <f>M25+M26</f>
        <v>2.942663923076923</v>
      </c>
      <c r="N27" s="7">
        <v>15.7776</v>
      </c>
      <c r="O27" s="7">
        <v>15.9637</v>
      </c>
      <c r="P27" s="7">
        <v>9.7297</v>
      </c>
      <c r="Q27" s="7">
        <v>13.0172</v>
      </c>
      <c r="R27" s="7">
        <v>15.175</v>
      </c>
      <c r="S27" s="7">
        <v>9.0759</v>
      </c>
      <c r="T27" s="7">
        <v>11.6235</v>
      </c>
      <c r="U27" s="7">
        <v>7.523</v>
      </c>
      <c r="V27" s="7">
        <v>14.344</v>
      </c>
      <c r="W27" s="7">
        <v>9.358</v>
      </c>
      <c r="X27" s="7">
        <v>15.0713</v>
      </c>
      <c r="Y27" s="7">
        <v>8.5356</v>
      </c>
      <c r="Z27" s="7">
        <v>9.2383</v>
      </c>
      <c r="AA27" s="7">
        <v>10.0258</v>
      </c>
      <c r="AB27" s="7">
        <v>5.6752</v>
      </c>
      <c r="AC27" s="7">
        <f>AC26+AC25</f>
        <v>48.25610123076923</v>
      </c>
      <c r="AD27" s="7">
        <v>0</v>
      </c>
      <c r="AE27" s="7">
        <f>AE26+AE25</f>
        <v>41.98432884615386</v>
      </c>
      <c r="AF27" s="7"/>
    </row>
    <row r="28" spans="1:32" ht="12">
      <c r="A28" s="2" t="s">
        <v>278</v>
      </c>
      <c r="B28" s="2" t="s">
        <v>248</v>
      </c>
      <c r="C28" s="1">
        <v>83</v>
      </c>
      <c r="D28" s="1">
        <v>0.48</v>
      </c>
      <c r="E28" s="3">
        <v>2</v>
      </c>
      <c r="H28" s="13" t="s">
        <v>223</v>
      </c>
      <c r="I28" s="7"/>
      <c r="J28" s="7"/>
      <c r="K28" s="7"/>
      <c r="L28" s="7" t="s">
        <v>66</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row>
    <row r="29" spans="5:32" ht="12">
      <c r="E29" s="3">
        <v>4</v>
      </c>
      <c r="H29" s="13" t="s">
        <v>224</v>
      </c>
      <c r="I29" s="7"/>
      <c r="J29" s="7"/>
      <c r="K29" s="7"/>
      <c r="L29" s="7" t="s">
        <v>67</v>
      </c>
      <c r="M29" s="7">
        <f aca="true" t="shared" si="6" ref="M29:AE29">M27+M28</f>
        <v>2.942663923076923</v>
      </c>
      <c r="N29" s="7">
        <f t="shared" si="6"/>
        <v>15.7776</v>
      </c>
      <c r="O29" s="7">
        <f t="shared" si="6"/>
        <v>15.9637</v>
      </c>
      <c r="P29" s="7">
        <f t="shared" si="6"/>
        <v>9.7297</v>
      </c>
      <c r="Q29" s="7">
        <f t="shared" si="6"/>
        <v>13.0172</v>
      </c>
      <c r="R29" s="7">
        <f t="shared" si="6"/>
        <v>15.175</v>
      </c>
      <c r="S29" s="7">
        <f t="shared" si="6"/>
        <v>9.0759</v>
      </c>
      <c r="T29" s="7">
        <f t="shared" si="6"/>
        <v>11.6235</v>
      </c>
      <c r="U29" s="7">
        <f t="shared" si="6"/>
        <v>7.523</v>
      </c>
      <c r="V29" s="7">
        <f t="shared" si="6"/>
        <v>14.344</v>
      </c>
      <c r="W29" s="7">
        <f t="shared" si="6"/>
        <v>9.358</v>
      </c>
      <c r="X29" s="7">
        <f t="shared" si="6"/>
        <v>15.0713</v>
      </c>
      <c r="Y29" s="7">
        <f t="shared" si="6"/>
        <v>8.5356</v>
      </c>
      <c r="Z29" s="7">
        <f t="shared" si="6"/>
        <v>9.2383</v>
      </c>
      <c r="AA29" s="7">
        <f t="shared" si="6"/>
        <v>10.0258</v>
      </c>
      <c r="AB29" s="7">
        <f t="shared" si="6"/>
        <v>5.6752</v>
      </c>
      <c r="AC29" s="7">
        <f t="shared" si="6"/>
        <v>48.25610123076923</v>
      </c>
      <c r="AD29" s="7">
        <f t="shared" si="6"/>
        <v>0</v>
      </c>
      <c r="AE29" s="7">
        <f t="shared" si="6"/>
        <v>41.98432884615386</v>
      </c>
      <c r="AF29" s="7"/>
    </row>
    <row r="30" spans="5:32" ht="12">
      <c r="E30" s="3">
        <v>8</v>
      </c>
      <c r="H30" s="13" t="s">
        <v>225</v>
      </c>
      <c r="I30" s="7"/>
      <c r="J30" s="7"/>
      <c r="K30" s="7"/>
      <c r="L30" s="7" t="s">
        <v>68</v>
      </c>
      <c r="M30" s="7">
        <f>M25/AE25</f>
        <v>0.07359543121004472</v>
      </c>
      <c r="N30" s="7">
        <f>N25/AE25</f>
        <v>0.06489513992765722</v>
      </c>
      <c r="O30" s="7">
        <f>O25/AE25</f>
        <v>0.04097662685251062</v>
      </c>
      <c r="P30" s="7">
        <f>P25/AE25</f>
        <v>0.037157186245707505</v>
      </c>
      <c r="Q30" s="7">
        <f>Q25/AE25</f>
        <v>0.02783532836975409</v>
      </c>
      <c r="R30" s="7">
        <f>R25/AE25</f>
        <v>0.03939091329579073</v>
      </c>
      <c r="S30" s="7">
        <f>S25/AE25</f>
        <v>0.055143719527424445</v>
      </c>
      <c r="T30" s="7">
        <f>T25/AE25</f>
        <v>0.034652678109322724</v>
      </c>
      <c r="U30" s="7">
        <f>U25/AE25</f>
        <v>0.04261015337210716</v>
      </c>
      <c r="V30" s="7">
        <f>V25/AE25</f>
        <v>0.07018823672793728</v>
      </c>
      <c r="W30" s="7">
        <f>W25/AE25</f>
        <v>0.014691815557931804</v>
      </c>
      <c r="X30" s="7">
        <f>X25/AE25</f>
        <v>0.06502762837228872</v>
      </c>
      <c r="Y30" s="7">
        <f>Y25/AE25</f>
        <v>0.08021133664338012</v>
      </c>
      <c r="Z30" s="7">
        <f>Z25/AE25</f>
        <v>0.17019745668627573</v>
      </c>
      <c r="AA30" s="7">
        <f>AA25/AE25</f>
        <v>0.09248671510776021</v>
      </c>
      <c r="AB30" s="7">
        <f>AB25/AE25</f>
        <v>0.04895764210699662</v>
      </c>
      <c r="AC30" s="7">
        <f>AC25/AE25</f>
        <v>0.012637481867295023</v>
      </c>
      <c r="AD30" s="7">
        <f>AD25/AE25</f>
        <v>0.029344510019814963</v>
      </c>
      <c r="AE30" s="7">
        <f>AE25/AE25</f>
        <v>1</v>
      </c>
      <c r="AF30" s="7"/>
    </row>
    <row r="31" spans="5:32" ht="12">
      <c r="E31" s="3">
        <v>16.5</v>
      </c>
      <c r="H31" s="13" t="s">
        <v>226</v>
      </c>
      <c r="I31" s="7"/>
      <c r="J31" s="7"/>
      <c r="K31" s="7"/>
      <c r="L31" s="7" t="s">
        <v>69</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1</v>
      </c>
      <c r="AE31" s="7"/>
      <c r="AF31" s="7"/>
    </row>
    <row r="32" spans="5:32" ht="12">
      <c r="E32" s="3">
        <v>20.6</v>
      </c>
      <c r="H32" s="13" t="s">
        <v>227</v>
      </c>
      <c r="I32" s="7"/>
      <c r="J32" s="7"/>
      <c r="K32" s="7"/>
      <c r="L32" s="7" t="s">
        <v>70</v>
      </c>
      <c r="M32" s="3">
        <f aca="true" t="shared" si="7" ref="M32:AE32">M27/$AE$27</f>
        <v>0.07008957875353763</v>
      </c>
      <c r="N32" s="3">
        <f t="shared" si="7"/>
        <v>0.37579736138726844</v>
      </c>
      <c r="O32" s="3">
        <f t="shared" si="7"/>
        <v>0.38022996767429373</v>
      </c>
      <c r="P32" s="3">
        <f t="shared" si="7"/>
        <v>0.23174599350279546</v>
      </c>
      <c r="Q32" s="3">
        <f t="shared" si="7"/>
        <v>0.3100490196639762</v>
      </c>
      <c r="R32" s="3">
        <f t="shared" si="7"/>
        <v>0.3614443869189103</v>
      </c>
      <c r="S32" s="3">
        <f t="shared" si="7"/>
        <v>0.21617351639125784</v>
      </c>
      <c r="T32" s="3">
        <f t="shared" si="7"/>
        <v>0.2768533002538355</v>
      </c>
      <c r="U32" s="3">
        <f t="shared" si="7"/>
        <v>0.17918590594998102</v>
      </c>
      <c r="V32" s="3">
        <f t="shared" si="7"/>
        <v>0.34165128737824374</v>
      </c>
      <c r="W32" s="3">
        <f t="shared" si="7"/>
        <v>0.22289269013424465</v>
      </c>
      <c r="X32" s="3">
        <f t="shared" si="7"/>
        <v>0.3589744176982519</v>
      </c>
      <c r="Y32" s="3">
        <f t="shared" si="7"/>
        <v>0.20330442892817466</v>
      </c>
      <c r="Z32" s="3">
        <f t="shared" si="7"/>
        <v>0.22004162633759267</v>
      </c>
      <c r="AA32" s="3">
        <f t="shared" si="7"/>
        <v>0.23879862499977664</v>
      </c>
      <c r="AB32" s="3">
        <f t="shared" si="7"/>
        <v>0.13517424610492254</v>
      </c>
      <c r="AC32" s="3">
        <f t="shared" si="7"/>
        <v>1.1493836523527021</v>
      </c>
      <c r="AD32" s="3">
        <f t="shared" si="7"/>
        <v>0</v>
      </c>
      <c r="AE32" s="3">
        <f t="shared" si="7"/>
        <v>1</v>
      </c>
      <c r="AF32" s="7"/>
    </row>
    <row r="33" spans="2:32" ht="12">
      <c r="B33" s="2" t="s">
        <v>238</v>
      </c>
      <c r="C33" s="1">
        <v>84</v>
      </c>
      <c r="D33" s="1">
        <v>0.47</v>
      </c>
      <c r="E33" s="3">
        <v>4</v>
      </c>
      <c r="H33" s="13" t="s">
        <v>228</v>
      </c>
      <c r="I33" s="7"/>
      <c r="J33" s="7"/>
      <c r="K33" s="7"/>
      <c r="L33" s="7" t="s">
        <v>71</v>
      </c>
      <c r="M33" s="7">
        <f>M30</f>
        <v>0.07359543121004472</v>
      </c>
      <c r="N33" s="7">
        <f>M30+N30</f>
        <v>0.13849057113770194</v>
      </c>
      <c r="O33" s="7">
        <f aca="true" t="shared" si="8" ref="O33:AD33">N33+O30</f>
        <v>0.17946719799021255</v>
      </c>
      <c r="P33" s="7">
        <f t="shared" si="8"/>
        <v>0.21662438423592006</v>
      </c>
      <c r="Q33" s="7">
        <f t="shared" si="8"/>
        <v>0.24445971260567415</v>
      </c>
      <c r="R33" s="7">
        <f t="shared" si="8"/>
        <v>0.28385062590146487</v>
      </c>
      <c r="S33" s="7">
        <f t="shared" si="8"/>
        <v>0.3389943454288893</v>
      </c>
      <c r="T33" s="7">
        <f t="shared" si="8"/>
        <v>0.373647023538212</v>
      </c>
      <c r="U33" s="7">
        <f t="shared" si="8"/>
        <v>0.41625717691031916</v>
      </c>
      <c r="V33" s="7">
        <f t="shared" si="8"/>
        <v>0.48644541363825644</v>
      </c>
      <c r="W33" s="7">
        <f t="shared" si="8"/>
        <v>0.5011372291961882</v>
      </c>
      <c r="X33" s="7">
        <f t="shared" si="8"/>
        <v>0.5661648575684769</v>
      </c>
      <c r="Y33" s="7">
        <f t="shared" si="8"/>
        <v>0.646376194211857</v>
      </c>
      <c r="Z33" s="7">
        <f t="shared" si="8"/>
        <v>0.8165736508981327</v>
      </c>
      <c r="AA33" s="7">
        <f t="shared" si="8"/>
        <v>0.9090603660058929</v>
      </c>
      <c r="AB33" s="7">
        <f t="shared" si="8"/>
        <v>0.9580180081128895</v>
      </c>
      <c r="AC33" s="7">
        <f t="shared" si="8"/>
        <v>0.9706554899801846</v>
      </c>
      <c r="AD33" s="7">
        <f t="shared" si="8"/>
        <v>0.9999999999999996</v>
      </c>
      <c r="AE33" s="7"/>
      <c r="AF33" s="7"/>
    </row>
    <row r="34" spans="5:32" ht="12">
      <c r="E34" s="3">
        <v>9.2</v>
      </c>
      <c r="H34" s="13" t="s">
        <v>230</v>
      </c>
      <c r="I34" s="7"/>
      <c r="J34" s="7"/>
      <c r="K34" s="7"/>
      <c r="L34" s="7" t="s">
        <v>72</v>
      </c>
      <c r="M34" s="7">
        <f aca="true" t="shared" si="9" ref="M34:AC34">M33+M31</f>
        <v>0.07359543121004472</v>
      </c>
      <c r="N34" s="13">
        <f t="shared" si="9"/>
        <v>0.13849057113770194</v>
      </c>
      <c r="O34" s="13">
        <f t="shared" si="9"/>
        <v>0.17946719799021255</v>
      </c>
      <c r="P34" s="13">
        <f t="shared" si="9"/>
        <v>0.21662438423592006</v>
      </c>
      <c r="Q34" s="13">
        <f t="shared" si="9"/>
        <v>0.24445971260567415</v>
      </c>
      <c r="R34" s="13">
        <f t="shared" si="9"/>
        <v>0.28385062590146487</v>
      </c>
      <c r="S34" s="13">
        <f t="shared" si="9"/>
        <v>0.3389943454288893</v>
      </c>
      <c r="T34" s="13">
        <f t="shared" si="9"/>
        <v>0.373647023538212</v>
      </c>
      <c r="U34" s="13">
        <f t="shared" si="9"/>
        <v>0.41625717691031916</v>
      </c>
      <c r="V34" s="13">
        <f t="shared" si="9"/>
        <v>0.48644541363825644</v>
      </c>
      <c r="W34" s="13">
        <f t="shared" si="9"/>
        <v>0.5011372291961882</v>
      </c>
      <c r="X34" s="13">
        <f t="shared" si="9"/>
        <v>0.5661648575684769</v>
      </c>
      <c r="Y34" s="13">
        <f t="shared" si="9"/>
        <v>0.646376194211857</v>
      </c>
      <c r="Z34" s="13">
        <f t="shared" si="9"/>
        <v>0.8165736508981327</v>
      </c>
      <c r="AA34" s="13">
        <f t="shared" si="9"/>
        <v>0.9090603660058929</v>
      </c>
      <c r="AB34" s="13">
        <f t="shared" si="9"/>
        <v>0.9580180081128895</v>
      </c>
      <c r="AC34" s="13">
        <f t="shared" si="9"/>
        <v>0.9706554899801846</v>
      </c>
      <c r="AD34" s="13"/>
      <c r="AE34" s="13"/>
      <c r="AF34" s="13"/>
    </row>
    <row r="35" spans="5:32" ht="11.25">
      <c r="E35" s="3">
        <v>18.2</v>
      </c>
      <c r="H35" s="7" t="s">
        <v>229</v>
      </c>
      <c r="I35" s="7"/>
      <c r="J35" s="7"/>
      <c r="K35" s="7"/>
      <c r="L35" s="7" t="s">
        <v>73</v>
      </c>
      <c r="M35" s="7">
        <f>M32</f>
        <v>0.07008957875353763</v>
      </c>
      <c r="N35" s="7">
        <f aca="true" t="shared" si="10" ref="N35:AD35">M35+N32</f>
        <v>0.4458869401408061</v>
      </c>
      <c r="O35" s="7">
        <f t="shared" si="10"/>
        <v>0.8261169078150998</v>
      </c>
      <c r="P35" s="7">
        <f t="shared" si="10"/>
        <v>1.0578629013178953</v>
      </c>
      <c r="Q35" s="7">
        <f t="shared" si="10"/>
        <v>1.3679119209818715</v>
      </c>
      <c r="R35" s="7">
        <f t="shared" si="10"/>
        <v>1.7293563079007819</v>
      </c>
      <c r="S35" s="7">
        <f t="shared" si="10"/>
        <v>1.9455298242920398</v>
      </c>
      <c r="T35" s="7">
        <f t="shared" si="10"/>
        <v>2.222383124545875</v>
      </c>
      <c r="U35" s="7">
        <f t="shared" si="10"/>
        <v>2.4015690304958563</v>
      </c>
      <c r="V35" s="7">
        <f t="shared" si="10"/>
        <v>2.7432203178741</v>
      </c>
      <c r="W35" s="7">
        <f t="shared" si="10"/>
        <v>2.9661130080083447</v>
      </c>
      <c r="X35" s="7">
        <f t="shared" si="10"/>
        <v>3.3250874257065965</v>
      </c>
      <c r="Y35" s="7">
        <f t="shared" si="10"/>
        <v>3.528391854634771</v>
      </c>
      <c r="Z35" s="7">
        <f t="shared" si="10"/>
        <v>3.7484334809723636</v>
      </c>
      <c r="AA35" s="7">
        <f t="shared" si="10"/>
        <v>3.98723210597214</v>
      </c>
      <c r="AB35" s="7">
        <f t="shared" si="10"/>
        <v>4.122406352077062</v>
      </c>
      <c r="AC35" s="7">
        <f t="shared" si="10"/>
        <v>5.271790004429764</v>
      </c>
      <c r="AD35" s="7">
        <f t="shared" si="10"/>
        <v>5.271790004429764</v>
      </c>
      <c r="AE35" s="7"/>
      <c r="AF35" s="7"/>
    </row>
    <row r="36" spans="5:25" ht="11.25">
      <c r="E36" s="3">
        <v>23.5</v>
      </c>
      <c r="H36" s="7"/>
      <c r="I36" s="7"/>
      <c r="J36" s="7"/>
      <c r="K36" s="7"/>
      <c r="L36" s="7"/>
      <c r="M36" s="7"/>
      <c r="N36" s="7"/>
      <c r="O36" s="7"/>
      <c r="P36" s="7"/>
      <c r="Q36" s="7"/>
      <c r="R36" s="7"/>
      <c r="S36" s="7"/>
      <c r="T36" s="7"/>
      <c r="U36" s="7"/>
      <c r="V36" s="7"/>
      <c r="W36" s="7"/>
      <c r="X36" s="7"/>
      <c r="Y36" s="7"/>
    </row>
    <row r="37" spans="5:25" ht="12">
      <c r="E37" s="3">
        <v>23.5</v>
      </c>
      <c r="H37" s="4" t="s">
        <v>231</v>
      </c>
      <c r="J37" s="1"/>
      <c r="K37" s="1"/>
      <c r="L37" s="1"/>
      <c r="M37" s="1"/>
      <c r="N37" s="1"/>
      <c r="O37" s="1"/>
      <c r="P37" s="1"/>
      <c r="Q37" s="1"/>
      <c r="R37" s="1"/>
      <c r="S37" s="1"/>
      <c r="T37" s="1"/>
      <c r="U37" s="1"/>
      <c r="V37" s="1"/>
      <c r="W37" s="1"/>
      <c r="X37" s="1"/>
      <c r="Y37" s="1"/>
    </row>
    <row r="38" spans="1:9" ht="12">
      <c r="A38" s="2"/>
      <c r="B38" s="2" t="s">
        <v>327</v>
      </c>
      <c r="C38" s="1">
        <v>83</v>
      </c>
      <c r="D38" s="1">
        <v>0.48</v>
      </c>
      <c r="E38" s="3">
        <v>1.5</v>
      </c>
      <c r="H38" s="1"/>
      <c r="I38" s="17"/>
    </row>
    <row r="39" ht="11.25">
      <c r="E39" s="3">
        <v>4.4</v>
      </c>
    </row>
    <row r="40" ht="11.25">
      <c r="E40" s="3">
        <v>11.2</v>
      </c>
    </row>
    <row r="41" ht="11.25">
      <c r="E41" s="3">
        <v>15</v>
      </c>
    </row>
    <row r="43" spans="2:5" ht="12">
      <c r="B43" s="2" t="s">
        <v>299</v>
      </c>
      <c r="C43" s="1">
        <v>82</v>
      </c>
      <c r="D43" s="1">
        <v>0.47</v>
      </c>
      <c r="E43" s="3">
        <v>1.8</v>
      </c>
    </row>
    <row r="44" ht="11.25">
      <c r="E44" s="3">
        <v>8.5</v>
      </c>
    </row>
    <row r="45" ht="11.25">
      <c r="E45" s="3">
        <v>16</v>
      </c>
    </row>
    <row r="46" ht="11.25">
      <c r="E46" s="3">
        <v>17</v>
      </c>
    </row>
    <row r="47" ht="11.25">
      <c r="C47" s="1">
        <v>83</v>
      </c>
    </row>
    <row r="48" spans="2:5" ht="12">
      <c r="B48" s="2" t="s">
        <v>239</v>
      </c>
      <c r="D48" s="1">
        <v>0.47</v>
      </c>
      <c r="E48" s="3">
        <v>2.8</v>
      </c>
    </row>
    <row r="49" ht="11.25">
      <c r="E49" s="3">
        <v>7.5</v>
      </c>
    </row>
    <row r="50" ht="11.25">
      <c r="E50" s="3">
        <v>15</v>
      </c>
    </row>
    <row r="51" ht="11.25">
      <c r="E51" s="3">
        <v>17.8</v>
      </c>
    </row>
    <row r="52" ht="11.25">
      <c r="E52" s="3">
        <v>17.8</v>
      </c>
    </row>
    <row r="53" spans="2:5" ht="12">
      <c r="B53" s="2" t="s">
        <v>279</v>
      </c>
      <c r="C53" s="1">
        <v>84</v>
      </c>
      <c r="D53" s="1">
        <v>0.46</v>
      </c>
      <c r="E53" s="3">
        <v>0.8</v>
      </c>
    </row>
    <row r="54" ht="11.25">
      <c r="E54" s="3">
        <v>3.3</v>
      </c>
    </row>
    <row r="55" ht="11.25">
      <c r="E55" s="3">
        <v>10.6</v>
      </c>
    </row>
    <row r="56" ht="11.25">
      <c r="E56" s="3">
        <v>10.6</v>
      </c>
    </row>
    <row r="58" spans="2:5" ht="12">
      <c r="B58" s="2" t="s">
        <v>320</v>
      </c>
      <c r="C58" s="1">
        <v>85</v>
      </c>
      <c r="D58" s="1">
        <v>0.48</v>
      </c>
      <c r="E58" s="3">
        <v>2.5</v>
      </c>
    </row>
    <row r="59" ht="11.25">
      <c r="E59" s="3">
        <v>6</v>
      </c>
    </row>
    <row r="60" ht="11.25">
      <c r="E60" s="3">
        <v>14.5</v>
      </c>
    </row>
    <row r="61" ht="11.25">
      <c r="E61" s="3">
        <v>19</v>
      </c>
    </row>
    <row r="62" spans="1:2" ht="12">
      <c r="A62" s="2"/>
      <c r="B62" s="5"/>
    </row>
    <row r="71" ht="12">
      <c r="A71" s="2"/>
    </row>
    <row r="113" ht="12">
      <c r="A113" s="2"/>
    </row>
    <row r="123" ht="12">
      <c r="A123" s="2"/>
    </row>
    <row r="164" ht="12">
      <c r="A164" s="2"/>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xiaoqing</cp:lastModifiedBy>
  <cp:lastPrinted>2001-08-01T13:09:33Z</cp:lastPrinted>
  <dcterms:created xsi:type="dcterms:W3CDTF">1996-12-17T01:32:42Z</dcterms:created>
  <dcterms:modified xsi:type="dcterms:W3CDTF">2003-03-20T20:40:41Z</dcterms:modified>
  <cp:category/>
  <cp:version/>
  <cp:contentType/>
  <cp:contentStatus/>
</cp:coreProperties>
</file>